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3"/>
  </bookViews>
  <sheets>
    <sheet name="Změnový list č.5" sheetId="2" r:id="rId1"/>
    <sheet name="paragraf 4" sheetId="5" r:id="rId2"/>
    <sheet name="Změnový list č.6" sheetId="6" r:id="rId3"/>
    <sheet name="pragraf 6" sheetId="4" r:id="rId4"/>
    <sheet name="Podklad pro ZL" sheetId="1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4" l="1"/>
  <c r="K3" i="4"/>
  <c r="J3" i="4"/>
  <c r="I3" i="4"/>
  <c r="L16" i="1" l="1"/>
  <c r="J16" i="1"/>
  <c r="K16" i="1"/>
  <c r="L71" i="1" l="1"/>
  <c r="K71" i="1" s="1"/>
  <c r="K68" i="1" s="1"/>
  <c r="L70" i="1"/>
  <c r="J70" i="1"/>
  <c r="J68" i="1" s="1"/>
  <c r="K4" i="5"/>
  <c r="J4" i="5"/>
  <c r="K15" i="4"/>
  <c r="I15" i="4"/>
  <c r="K14" i="4"/>
  <c r="I14" i="4"/>
  <c r="K13" i="4"/>
  <c r="I13" i="4"/>
  <c r="G13" i="4"/>
  <c r="G12" i="4"/>
  <c r="K12" i="4" s="1"/>
  <c r="J11" i="4"/>
  <c r="K10" i="4"/>
  <c r="I10" i="4" s="1"/>
  <c r="G10" i="4"/>
  <c r="G8" i="4"/>
  <c r="G9" i="4" s="1"/>
  <c r="K9" i="4" s="1"/>
  <c r="I9" i="4" s="1"/>
  <c r="G7" i="4"/>
  <c r="K7" i="4" s="1"/>
  <c r="J6" i="4"/>
  <c r="M54" i="5"/>
  <c r="L68" i="1" l="1"/>
  <c r="I7" i="4"/>
  <c r="K6" i="4"/>
  <c r="K11" i="4"/>
  <c r="I12" i="4"/>
  <c r="I11" i="4" s="1"/>
  <c r="K8" i="4"/>
  <c r="I8" i="4" s="1"/>
  <c r="K47" i="5"/>
  <c r="K48" i="5"/>
  <c r="J48" i="5"/>
  <c r="I6" i="4" l="1"/>
  <c r="I47" i="5"/>
  <c r="I45" i="5" s="1"/>
  <c r="K135" i="5" l="1"/>
  <c r="I135" i="5" s="1"/>
  <c r="K134" i="5"/>
  <c r="I134" i="5" s="1"/>
  <c r="K133" i="5"/>
  <c r="I133" i="5" s="1"/>
  <c r="K132" i="5"/>
  <c r="I132" i="5" s="1"/>
  <c r="K131" i="5"/>
  <c r="I131" i="5" s="1"/>
  <c r="K130" i="5"/>
  <c r="I130" i="5" s="1"/>
  <c r="J129" i="5"/>
  <c r="K128" i="5"/>
  <c r="I128" i="5" s="1"/>
  <c r="K127" i="5"/>
  <c r="I127" i="5" s="1"/>
  <c r="J126" i="5"/>
  <c r="K125" i="5"/>
  <c r="I125" i="5" s="1"/>
  <c r="K124" i="5"/>
  <c r="I124" i="5" s="1"/>
  <c r="J123" i="5"/>
  <c r="K122" i="5"/>
  <c r="I122" i="5" s="1"/>
  <c r="K121" i="5"/>
  <c r="I121" i="5" s="1"/>
  <c r="K120" i="5"/>
  <c r="I120" i="5" s="1"/>
  <c r="K119" i="5"/>
  <c r="I119" i="5" s="1"/>
  <c r="K118" i="5"/>
  <c r="I118" i="5"/>
  <c r="K117" i="5"/>
  <c r="I117" i="5" s="1"/>
  <c r="G116" i="5"/>
  <c r="K116" i="5" s="1"/>
  <c r="J115" i="5"/>
  <c r="K113" i="5"/>
  <c r="J113" i="5" s="1"/>
  <c r="K112" i="5"/>
  <c r="I112" i="5" s="1"/>
  <c r="K111" i="5"/>
  <c r="I111" i="5" s="1"/>
  <c r="K110" i="5"/>
  <c r="I110" i="5" s="1"/>
  <c r="K109" i="5"/>
  <c r="I109" i="5" s="1"/>
  <c r="K108" i="5"/>
  <c r="J108" i="5" s="1"/>
  <c r="K107" i="5"/>
  <c r="J107" i="5" s="1"/>
  <c r="K106" i="5"/>
  <c r="J106" i="5" s="1"/>
  <c r="K104" i="5"/>
  <c r="I104" i="5" s="1"/>
  <c r="K103" i="5"/>
  <c r="I103" i="5" s="1"/>
  <c r="K102" i="5"/>
  <c r="I102" i="5" s="1"/>
  <c r="K101" i="5"/>
  <c r="I101" i="5" s="1"/>
  <c r="K100" i="5"/>
  <c r="K99" i="5"/>
  <c r="J98" i="5"/>
  <c r="K97" i="5"/>
  <c r="I97" i="5" s="1"/>
  <c r="K96" i="5"/>
  <c r="J96" i="5" s="1"/>
  <c r="K95" i="5"/>
  <c r="I95" i="5" s="1"/>
  <c r="K94" i="5"/>
  <c r="J94" i="5" s="1"/>
  <c r="K92" i="5"/>
  <c r="K91" i="5" s="1"/>
  <c r="I92" i="5"/>
  <c r="I91" i="5" s="1"/>
  <c r="J91" i="5"/>
  <c r="K90" i="5"/>
  <c r="J90" i="5" s="1"/>
  <c r="K89" i="5"/>
  <c r="J89" i="5" s="1"/>
  <c r="I88" i="5"/>
  <c r="K87" i="5"/>
  <c r="J87" i="5" s="1"/>
  <c r="K86" i="5"/>
  <c r="J86" i="5" s="1"/>
  <c r="I85" i="5"/>
  <c r="K84" i="5"/>
  <c r="J84" i="5" s="1"/>
  <c r="J83" i="5" s="1"/>
  <c r="I83" i="5"/>
  <c r="K82" i="5"/>
  <c r="I82" i="5" s="1"/>
  <c r="K81" i="5"/>
  <c r="I81" i="5" s="1"/>
  <c r="K80" i="5"/>
  <c r="I80" i="5" s="1"/>
  <c r="K79" i="5"/>
  <c r="I79" i="5" s="1"/>
  <c r="K78" i="5"/>
  <c r="I78" i="5" s="1"/>
  <c r="J77" i="5"/>
  <c r="K76" i="5"/>
  <c r="I76" i="5" s="1"/>
  <c r="K75" i="5"/>
  <c r="I75" i="5" s="1"/>
  <c r="K74" i="5"/>
  <c r="I74" i="5" s="1"/>
  <c r="K73" i="5"/>
  <c r="I73" i="5" s="1"/>
  <c r="K72" i="5"/>
  <c r="I72" i="5" s="1"/>
  <c r="K71" i="5"/>
  <c r="I71" i="5" s="1"/>
  <c r="K70" i="5"/>
  <c r="I70" i="5" s="1"/>
  <c r="K69" i="5"/>
  <c r="I69" i="5" s="1"/>
  <c r="K68" i="5"/>
  <c r="I68" i="5" s="1"/>
  <c r="K67" i="5"/>
  <c r="I67" i="5" s="1"/>
  <c r="K66" i="5"/>
  <c r="I66" i="5" s="1"/>
  <c r="K65" i="5"/>
  <c r="I65" i="5" s="1"/>
  <c r="K64" i="5"/>
  <c r="I64" i="5" s="1"/>
  <c r="J63" i="5"/>
  <c r="K62" i="5"/>
  <c r="I62" i="5" s="1"/>
  <c r="K61" i="5"/>
  <c r="I61" i="5" s="1"/>
  <c r="K60" i="5"/>
  <c r="I60" i="5" s="1"/>
  <c r="K59" i="5"/>
  <c r="J59" i="5" s="1"/>
  <c r="K58" i="5"/>
  <c r="J58" i="5" s="1"/>
  <c r="K57" i="5"/>
  <c r="J57" i="5" s="1"/>
  <c r="K56" i="5"/>
  <c r="J56" i="5" s="1"/>
  <c r="K54" i="5"/>
  <c r="I54" i="5" s="1"/>
  <c r="I53" i="5" s="1"/>
  <c r="J53" i="5"/>
  <c r="K52" i="5"/>
  <c r="I52" i="5" s="1"/>
  <c r="K51" i="5"/>
  <c r="I51" i="5" s="1"/>
  <c r="K50" i="5"/>
  <c r="J50" i="5" s="1"/>
  <c r="J49" i="5" s="1"/>
  <c r="K44" i="5"/>
  <c r="I44" i="5" s="1"/>
  <c r="I43" i="5" s="1"/>
  <c r="J43" i="5"/>
  <c r="K42" i="5"/>
  <c r="I42" i="5" s="1"/>
  <c r="K41" i="5"/>
  <c r="I41" i="5" s="1"/>
  <c r="K40" i="5"/>
  <c r="I40" i="5" s="1"/>
  <c r="K39" i="5"/>
  <c r="I39" i="5" s="1"/>
  <c r="K38" i="5"/>
  <c r="J38" i="5" s="1"/>
  <c r="K37" i="5"/>
  <c r="J37" i="5" s="1"/>
  <c r="K36" i="5"/>
  <c r="J36" i="5" s="1"/>
  <c r="K35" i="5"/>
  <c r="J35" i="5" s="1"/>
  <c r="K34" i="5"/>
  <c r="J34" i="5" s="1"/>
  <c r="K33" i="5"/>
  <c r="J33" i="5" s="1"/>
  <c r="K31" i="5"/>
  <c r="J31" i="5" s="1"/>
  <c r="G30" i="5"/>
  <c r="K30" i="5" s="1"/>
  <c r="I30" i="5" s="1"/>
  <c r="K29" i="5"/>
  <c r="J29" i="5" s="1"/>
  <c r="K28" i="5"/>
  <c r="I28" i="5" s="1"/>
  <c r="K27" i="5"/>
  <c r="J27" i="5" s="1"/>
  <c r="G26" i="5"/>
  <c r="K26" i="5" s="1"/>
  <c r="I26" i="5" s="1"/>
  <c r="K25" i="5"/>
  <c r="J25" i="5" s="1"/>
  <c r="K24" i="5"/>
  <c r="I24" i="5" s="1"/>
  <c r="K23" i="5"/>
  <c r="J23" i="5" s="1"/>
  <c r="K22" i="5"/>
  <c r="I22" i="5" s="1"/>
  <c r="K21" i="5"/>
  <c r="J21" i="5" s="1"/>
  <c r="K20" i="5"/>
  <c r="J20" i="5" s="1"/>
  <c r="K19" i="5"/>
  <c r="J19" i="5" s="1"/>
  <c r="K18" i="5"/>
  <c r="J18" i="5" s="1"/>
  <c r="K17" i="5"/>
  <c r="J17" i="5" s="1"/>
  <c r="K16" i="5"/>
  <c r="I16" i="5" s="1"/>
  <c r="K15" i="5"/>
  <c r="I15" i="5" s="1"/>
  <c r="K14" i="5"/>
  <c r="I14" i="5" s="1"/>
  <c r="K13" i="5"/>
  <c r="I13" i="5" s="1"/>
  <c r="K12" i="5"/>
  <c r="I12" i="5" s="1"/>
  <c r="K11" i="5"/>
  <c r="K10" i="5"/>
  <c r="I10" i="5" s="1"/>
  <c r="K9" i="5"/>
  <c r="J9" i="5" s="1"/>
  <c r="K6" i="5"/>
  <c r="J6" i="5" s="1"/>
  <c r="J5" i="5" s="1"/>
  <c r="I5" i="5"/>
  <c r="K74" i="4"/>
  <c r="J74" i="4" s="1"/>
  <c r="J73" i="4" s="1"/>
  <c r="I73" i="4"/>
  <c r="K72" i="4"/>
  <c r="J72" i="4" s="1"/>
  <c r="K71" i="4"/>
  <c r="J71" i="4"/>
  <c r="K70" i="4"/>
  <c r="J70" i="4" s="1"/>
  <c r="K69" i="4"/>
  <c r="J69" i="4"/>
  <c r="K68" i="4"/>
  <c r="J68" i="4" s="1"/>
  <c r="K67" i="4"/>
  <c r="J67" i="4"/>
  <c r="K66" i="4"/>
  <c r="J66" i="4" s="1"/>
  <c r="K65" i="4"/>
  <c r="J65" i="4" s="1"/>
  <c r="K64" i="4"/>
  <c r="J64" i="4" s="1"/>
  <c r="K63" i="4"/>
  <c r="J63" i="4"/>
  <c r="K62" i="4"/>
  <c r="J62" i="4" s="1"/>
  <c r="K61" i="4"/>
  <c r="J61" i="4"/>
  <c r="K60" i="4"/>
  <c r="J60" i="4" s="1"/>
  <c r="K59" i="4"/>
  <c r="I59" i="4"/>
  <c r="K58" i="4"/>
  <c r="I58" i="4" s="1"/>
  <c r="I52" i="4" s="1"/>
  <c r="K57" i="4"/>
  <c r="J57" i="4" s="1"/>
  <c r="K56" i="4"/>
  <c r="J56" i="4" s="1"/>
  <c r="K55" i="4"/>
  <c r="J55" i="4"/>
  <c r="K54" i="4"/>
  <c r="J54" i="4" s="1"/>
  <c r="K53" i="4"/>
  <c r="J53" i="4"/>
  <c r="K50" i="4"/>
  <c r="I50" i="4" s="1"/>
  <c r="I49" i="4" s="1"/>
  <c r="J49" i="4"/>
  <c r="K48" i="4"/>
  <c r="I48" i="4" s="1"/>
  <c r="K47" i="4"/>
  <c r="I47" i="4"/>
  <c r="K46" i="4"/>
  <c r="I46" i="4" s="1"/>
  <c r="K45" i="4"/>
  <c r="J45" i="4"/>
  <c r="K44" i="4"/>
  <c r="J44" i="4" s="1"/>
  <c r="K43" i="4"/>
  <c r="I43" i="4"/>
  <c r="K42" i="4"/>
  <c r="I42" i="4" s="1"/>
  <c r="K41" i="4"/>
  <c r="I41" i="4" s="1"/>
  <c r="K40" i="4"/>
  <c r="I40" i="4" s="1"/>
  <c r="K39" i="4"/>
  <c r="I39" i="4"/>
  <c r="K38" i="4"/>
  <c r="J38" i="4" s="1"/>
  <c r="K37" i="4"/>
  <c r="J37" i="4"/>
  <c r="K36" i="4"/>
  <c r="I36" i="4" s="1"/>
  <c r="K35" i="4"/>
  <c r="I35" i="4"/>
  <c r="K33" i="4"/>
  <c r="J33" i="4" s="1"/>
  <c r="J22" i="4" s="1"/>
  <c r="K32" i="4"/>
  <c r="I32" i="4" s="1"/>
  <c r="G31" i="4"/>
  <c r="K31" i="4" s="1"/>
  <c r="I31" i="4" s="1"/>
  <c r="K30" i="4"/>
  <c r="I30" i="4" s="1"/>
  <c r="K29" i="4"/>
  <c r="I29" i="4"/>
  <c r="K28" i="4"/>
  <c r="I28" i="4" s="1"/>
  <c r="G27" i="4"/>
  <c r="K27" i="4" s="1"/>
  <c r="I27" i="4" s="1"/>
  <c r="K26" i="4"/>
  <c r="I26" i="4" s="1"/>
  <c r="K25" i="4"/>
  <c r="I25" i="4" s="1"/>
  <c r="G24" i="4"/>
  <c r="K24" i="4" s="1"/>
  <c r="I24" i="4" s="1"/>
  <c r="K23" i="4"/>
  <c r="I23" i="4" s="1"/>
  <c r="K21" i="4"/>
  <c r="J21" i="4" s="1"/>
  <c r="K20" i="4"/>
  <c r="J20" i="4"/>
  <c r="K19" i="4"/>
  <c r="J19" i="4" s="1"/>
  <c r="K18" i="4"/>
  <c r="J18" i="4"/>
  <c r="K17" i="4"/>
  <c r="I17" i="4"/>
  <c r="K5" i="4"/>
  <c r="K4" i="4" s="1"/>
  <c r="I5" i="4"/>
  <c r="I4" i="4" s="1"/>
  <c r="J4" i="4"/>
  <c r="I4" i="5" l="1"/>
  <c r="J93" i="5"/>
  <c r="J34" i="4"/>
  <c r="J52" i="4"/>
  <c r="K52" i="4"/>
  <c r="K34" i="4"/>
  <c r="J17" i="4"/>
  <c r="K43" i="5"/>
  <c r="K49" i="5"/>
  <c r="I123" i="5"/>
  <c r="K98" i="5"/>
  <c r="K63" i="5"/>
  <c r="J55" i="5"/>
  <c r="J85" i="5"/>
  <c r="J88" i="5"/>
  <c r="J8" i="5"/>
  <c r="I63" i="5"/>
  <c r="K77" i="5"/>
  <c r="I93" i="5"/>
  <c r="K126" i="5"/>
  <c r="K129" i="5"/>
  <c r="K8" i="5"/>
  <c r="I49" i="5"/>
  <c r="J105" i="5"/>
  <c r="J32" i="5"/>
  <c r="I8" i="5"/>
  <c r="I32" i="5"/>
  <c r="I55" i="5"/>
  <c r="I77" i="5"/>
  <c r="I98" i="5"/>
  <c r="K115" i="5"/>
  <c r="I116" i="5"/>
  <c r="I115" i="5" s="1"/>
  <c r="I126" i="5"/>
  <c r="I105" i="5"/>
  <c r="I129" i="5"/>
  <c r="K32" i="5"/>
  <c r="K53" i="5"/>
  <c r="K83" i="5"/>
  <c r="K88" i="5"/>
  <c r="K93" i="5"/>
  <c r="K123" i="5"/>
  <c r="K5" i="5"/>
  <c r="K55" i="5"/>
  <c r="K85" i="5"/>
  <c r="I34" i="4"/>
  <c r="I22" i="4"/>
  <c r="K22" i="4"/>
  <c r="E36" i="6" s="1"/>
  <c r="E37" i="6" s="1"/>
  <c r="E38" i="6" s="1"/>
  <c r="D59" i="6" s="1"/>
  <c r="K49" i="4"/>
  <c r="K73" i="4"/>
  <c r="K105" i="5" l="1"/>
  <c r="L223" i="1" l="1"/>
  <c r="J223" i="1" s="1"/>
  <c r="L222" i="1"/>
  <c r="J222" i="1" s="1"/>
  <c r="L221" i="1"/>
  <c r="J221" i="1" s="1"/>
  <c r="L220" i="1"/>
  <c r="J220" i="1" s="1"/>
  <c r="L219" i="1"/>
  <c r="J219" i="1" s="1"/>
  <c r="L218" i="1"/>
  <c r="J218" i="1" s="1"/>
  <c r="K217" i="1"/>
  <c r="L216" i="1"/>
  <c r="J216" i="1" s="1"/>
  <c r="L215" i="1"/>
  <c r="K214" i="1"/>
  <c r="L213" i="1"/>
  <c r="J213" i="1" s="1"/>
  <c r="L212" i="1"/>
  <c r="J212" i="1" s="1"/>
  <c r="K211" i="1"/>
  <c r="L210" i="1"/>
  <c r="J210" i="1" s="1"/>
  <c r="L209" i="1"/>
  <c r="J209" i="1" s="1"/>
  <c r="L208" i="1"/>
  <c r="J208" i="1" s="1"/>
  <c r="L207" i="1"/>
  <c r="J207" i="1" s="1"/>
  <c r="L206" i="1"/>
  <c r="J206" i="1" s="1"/>
  <c r="L205" i="1"/>
  <c r="J205" i="1" s="1"/>
  <c r="H204" i="1"/>
  <c r="L204" i="1" s="1"/>
  <c r="K203" i="1"/>
  <c r="L201" i="1"/>
  <c r="K201" i="1" s="1"/>
  <c r="K200" i="1" s="1"/>
  <c r="L200" i="1"/>
  <c r="J200" i="1"/>
  <c r="L199" i="1"/>
  <c r="K199" i="1" s="1"/>
  <c r="L198" i="1"/>
  <c r="K198" i="1" s="1"/>
  <c r="L197" i="1"/>
  <c r="K197" i="1" s="1"/>
  <c r="L196" i="1"/>
  <c r="K196" i="1" s="1"/>
  <c r="L195" i="1"/>
  <c r="K195" i="1" s="1"/>
  <c r="L194" i="1"/>
  <c r="K194" i="1" s="1"/>
  <c r="L193" i="1"/>
  <c r="K193" i="1" s="1"/>
  <c r="L192" i="1"/>
  <c r="K192" i="1" s="1"/>
  <c r="L191" i="1"/>
  <c r="K191" i="1" s="1"/>
  <c r="L190" i="1"/>
  <c r="K190" i="1" s="1"/>
  <c r="L189" i="1"/>
  <c r="K189" i="1" s="1"/>
  <c r="L188" i="1"/>
  <c r="K188" i="1" s="1"/>
  <c r="L187" i="1"/>
  <c r="K187" i="1" s="1"/>
  <c r="L186" i="1"/>
  <c r="J186" i="1" s="1"/>
  <c r="L185" i="1"/>
  <c r="J185" i="1" s="1"/>
  <c r="L184" i="1"/>
  <c r="K184" i="1" s="1"/>
  <c r="L183" i="1"/>
  <c r="K183" i="1" s="1"/>
  <c r="L182" i="1"/>
  <c r="K182" i="1" s="1"/>
  <c r="L181" i="1"/>
  <c r="K181" i="1" s="1"/>
  <c r="L180" i="1"/>
  <c r="K180" i="1" s="1"/>
  <c r="L177" i="1"/>
  <c r="J177" i="1" s="1"/>
  <c r="J176" i="1" s="1"/>
  <c r="L176" i="1"/>
  <c r="K176" i="1"/>
  <c r="L175" i="1"/>
  <c r="J175" i="1" s="1"/>
  <c r="L174" i="1"/>
  <c r="J174" i="1" s="1"/>
  <c r="L173" i="1"/>
  <c r="J173" i="1" s="1"/>
  <c r="L172" i="1"/>
  <c r="K172" i="1" s="1"/>
  <c r="L171" i="1"/>
  <c r="K171" i="1" s="1"/>
  <c r="L170" i="1"/>
  <c r="J170" i="1" s="1"/>
  <c r="L169" i="1"/>
  <c r="J169" i="1" s="1"/>
  <c r="L168" i="1"/>
  <c r="J168" i="1" s="1"/>
  <c r="L167" i="1"/>
  <c r="J167" i="1" s="1"/>
  <c r="L166" i="1"/>
  <c r="J166" i="1" s="1"/>
  <c r="L165" i="1"/>
  <c r="K165" i="1" s="1"/>
  <c r="L164" i="1"/>
  <c r="K164" i="1" s="1"/>
  <c r="L163" i="1"/>
  <c r="J163" i="1" s="1"/>
  <c r="L162" i="1"/>
  <c r="J162" i="1" s="1"/>
  <c r="L160" i="1"/>
  <c r="K160" i="1" s="1"/>
  <c r="K149" i="1" s="1"/>
  <c r="L159" i="1"/>
  <c r="J159" i="1" s="1"/>
  <c r="H158" i="1"/>
  <c r="L158" i="1" s="1"/>
  <c r="J158" i="1" s="1"/>
  <c r="L157" i="1"/>
  <c r="J157" i="1" s="1"/>
  <c r="L156" i="1"/>
  <c r="J156" i="1" s="1"/>
  <c r="L155" i="1"/>
  <c r="J155" i="1" s="1"/>
  <c r="H154" i="1"/>
  <c r="L154" i="1" s="1"/>
  <c r="J154" i="1" s="1"/>
  <c r="L153" i="1"/>
  <c r="J153" i="1" s="1"/>
  <c r="L152" i="1"/>
  <c r="J152" i="1" s="1"/>
  <c r="H151" i="1"/>
  <c r="L151" i="1" s="1"/>
  <c r="J151" i="1" s="1"/>
  <c r="L150" i="1"/>
  <c r="J150" i="1" s="1"/>
  <c r="L148" i="1"/>
  <c r="K148" i="1" s="1"/>
  <c r="L147" i="1"/>
  <c r="K147" i="1" s="1"/>
  <c r="L146" i="1"/>
  <c r="K146" i="1" s="1"/>
  <c r="L145" i="1"/>
  <c r="K145" i="1" s="1"/>
  <c r="J144" i="1"/>
  <c r="L143" i="1"/>
  <c r="J143" i="1" s="1"/>
  <c r="J142" i="1" s="1"/>
  <c r="K142" i="1"/>
  <c r="L140" i="1"/>
  <c r="J140" i="1" s="1"/>
  <c r="J138" i="1" s="1"/>
  <c r="L139" i="1"/>
  <c r="K139" i="1"/>
  <c r="K138" i="1" s="1"/>
  <c r="L137" i="1"/>
  <c r="K137" i="1" s="1"/>
  <c r="L136" i="1"/>
  <c r="J136" i="1" s="1"/>
  <c r="L135" i="1"/>
  <c r="J135" i="1" s="1"/>
  <c r="L134" i="1"/>
  <c r="J134" i="1" s="1"/>
  <c r="L133" i="1"/>
  <c r="J133" i="1" s="1"/>
  <c r="L132" i="1"/>
  <c r="K132" i="1" s="1"/>
  <c r="L131" i="1"/>
  <c r="K131" i="1" s="1"/>
  <c r="L130" i="1"/>
  <c r="K130" i="1" s="1"/>
  <c r="L128" i="1"/>
  <c r="J128" i="1" s="1"/>
  <c r="L127" i="1"/>
  <c r="J127" i="1"/>
  <c r="L126" i="1"/>
  <c r="J126" i="1" s="1"/>
  <c r="L125" i="1"/>
  <c r="J125" i="1" s="1"/>
  <c r="L124" i="1"/>
  <c r="L123" i="1"/>
  <c r="K122" i="1"/>
  <c r="L121" i="1"/>
  <c r="J121" i="1" s="1"/>
  <c r="L120" i="1"/>
  <c r="K120" i="1" s="1"/>
  <c r="L119" i="1"/>
  <c r="J119" i="1" s="1"/>
  <c r="L118" i="1"/>
  <c r="K118" i="1" s="1"/>
  <c r="L116" i="1"/>
  <c r="L115" i="1" s="1"/>
  <c r="J116" i="1"/>
  <c r="J115" i="1" s="1"/>
  <c r="K115" i="1"/>
  <c r="L114" i="1"/>
  <c r="K114" i="1" s="1"/>
  <c r="L113" i="1"/>
  <c r="K113" i="1" s="1"/>
  <c r="J112" i="1"/>
  <c r="L111" i="1"/>
  <c r="K111" i="1" s="1"/>
  <c r="L110" i="1"/>
  <c r="K110" i="1" s="1"/>
  <c r="J109" i="1"/>
  <c r="L108" i="1"/>
  <c r="K108" i="1" s="1"/>
  <c r="K107" i="1" s="1"/>
  <c r="J107" i="1"/>
  <c r="L106" i="1"/>
  <c r="J106" i="1" s="1"/>
  <c r="L105" i="1"/>
  <c r="J105" i="1" s="1"/>
  <c r="L104" i="1"/>
  <c r="J104" i="1" s="1"/>
  <c r="L103" i="1"/>
  <c r="J103" i="1" s="1"/>
  <c r="L102" i="1"/>
  <c r="J102" i="1" s="1"/>
  <c r="K101" i="1"/>
  <c r="L100" i="1"/>
  <c r="J100" i="1" s="1"/>
  <c r="L99" i="1"/>
  <c r="J99" i="1" s="1"/>
  <c r="L98" i="1"/>
  <c r="J98" i="1" s="1"/>
  <c r="L97" i="1"/>
  <c r="J97" i="1" s="1"/>
  <c r="L96" i="1"/>
  <c r="J96" i="1" s="1"/>
  <c r="L95" i="1"/>
  <c r="J95" i="1" s="1"/>
  <c r="L94" i="1"/>
  <c r="J94" i="1" s="1"/>
  <c r="L93" i="1"/>
  <c r="J93" i="1"/>
  <c r="L92" i="1"/>
  <c r="J92" i="1" s="1"/>
  <c r="L91" i="1"/>
  <c r="J91" i="1" s="1"/>
  <c r="L90" i="1"/>
  <c r="J90" i="1" s="1"/>
  <c r="L89" i="1"/>
  <c r="J89" i="1" s="1"/>
  <c r="L88" i="1"/>
  <c r="K87" i="1"/>
  <c r="L86" i="1"/>
  <c r="J86" i="1" s="1"/>
  <c r="L85" i="1"/>
  <c r="J85" i="1" s="1"/>
  <c r="L84" i="1"/>
  <c r="J84" i="1"/>
  <c r="L83" i="1"/>
  <c r="K83" i="1" s="1"/>
  <c r="L82" i="1"/>
  <c r="K82" i="1"/>
  <c r="L81" i="1"/>
  <c r="K81" i="1" s="1"/>
  <c r="L80" i="1"/>
  <c r="K80" i="1" s="1"/>
  <c r="L78" i="1"/>
  <c r="L77" i="1" s="1"/>
  <c r="J78" i="1"/>
  <c r="J77" i="1" s="1"/>
  <c r="K77" i="1"/>
  <c r="L76" i="1"/>
  <c r="J76" i="1"/>
  <c r="L75" i="1"/>
  <c r="J75" i="1" s="1"/>
  <c r="L74" i="1"/>
  <c r="K74" i="1" s="1"/>
  <c r="K73" i="1" s="1"/>
  <c r="L67" i="1"/>
  <c r="L66" i="1" s="1"/>
  <c r="K66" i="1"/>
  <c r="L65" i="1"/>
  <c r="J65" i="1" s="1"/>
  <c r="L64" i="1"/>
  <c r="J64" i="1" s="1"/>
  <c r="L63" i="1"/>
  <c r="J63" i="1" s="1"/>
  <c r="L62" i="1"/>
  <c r="J62" i="1" s="1"/>
  <c r="L61" i="1"/>
  <c r="K61" i="1" s="1"/>
  <c r="L60" i="1"/>
  <c r="K60" i="1" s="1"/>
  <c r="L59" i="1"/>
  <c r="K59" i="1" s="1"/>
  <c r="L58" i="1"/>
  <c r="K58" i="1" s="1"/>
  <c r="L57" i="1"/>
  <c r="K57" i="1" s="1"/>
  <c r="L56" i="1"/>
  <c r="K56" i="1" s="1"/>
  <c r="L54" i="1"/>
  <c r="K54" i="1" s="1"/>
  <c r="H53" i="1"/>
  <c r="L53" i="1" s="1"/>
  <c r="J53" i="1" s="1"/>
  <c r="L52" i="1"/>
  <c r="K52" i="1" s="1"/>
  <c r="L51" i="1"/>
  <c r="J51" i="1" s="1"/>
  <c r="L50" i="1"/>
  <c r="K50" i="1" s="1"/>
  <c r="H49" i="1"/>
  <c r="L49" i="1" s="1"/>
  <c r="J49" i="1" s="1"/>
  <c r="L48" i="1"/>
  <c r="K48" i="1" s="1"/>
  <c r="L47" i="1"/>
  <c r="J47" i="1" s="1"/>
  <c r="L46" i="1"/>
  <c r="K46" i="1" s="1"/>
  <c r="L45" i="1"/>
  <c r="J45" i="1" s="1"/>
  <c r="L44" i="1"/>
  <c r="K44" i="1" s="1"/>
  <c r="L43" i="1"/>
  <c r="K43" i="1" s="1"/>
  <c r="L42" i="1"/>
  <c r="K42" i="1" s="1"/>
  <c r="L41" i="1"/>
  <c r="K41" i="1" s="1"/>
  <c r="L40" i="1"/>
  <c r="K40" i="1" s="1"/>
  <c r="L39" i="1"/>
  <c r="J39" i="1" s="1"/>
  <c r="L38" i="1"/>
  <c r="J38" i="1" s="1"/>
  <c r="L37" i="1"/>
  <c r="J37" i="1" s="1"/>
  <c r="L36" i="1"/>
  <c r="J36" i="1" s="1"/>
  <c r="L35" i="1"/>
  <c r="J35" i="1" s="1"/>
  <c r="L34" i="1"/>
  <c r="L33" i="1"/>
  <c r="J33" i="1" s="1"/>
  <c r="L32" i="1"/>
  <c r="L30" i="1"/>
  <c r="J30" i="1" s="1"/>
  <c r="L29" i="1"/>
  <c r="J29" i="1" s="1"/>
  <c r="H28" i="1"/>
  <c r="L28" i="1" s="1"/>
  <c r="J28" i="1" s="1"/>
  <c r="H27" i="1"/>
  <c r="L27" i="1" s="1"/>
  <c r="K26" i="1"/>
  <c r="H25" i="1"/>
  <c r="L25" i="1" s="1"/>
  <c r="J25" i="1" s="1"/>
  <c r="H22" i="1"/>
  <c r="L22" i="1" s="1"/>
  <c r="J22" i="1" s="1"/>
  <c r="K21" i="1"/>
  <c r="L19" i="1"/>
  <c r="L18" i="1" s="1"/>
  <c r="K19" i="1"/>
  <c r="K18" i="1" s="1"/>
  <c r="J18" i="1"/>
  <c r="J101" i="1" l="1"/>
  <c r="L109" i="1"/>
  <c r="K112" i="1"/>
  <c r="K144" i="1"/>
  <c r="L79" i="1"/>
  <c r="K79" i="1"/>
  <c r="L217" i="1"/>
  <c r="L107" i="1"/>
  <c r="K109" i="1"/>
  <c r="L138" i="1"/>
  <c r="H23" i="1"/>
  <c r="L23" i="1" s="1"/>
  <c r="J23" i="1" s="1"/>
  <c r="J161" i="1"/>
  <c r="L122" i="1"/>
  <c r="J211" i="1"/>
  <c r="J217" i="1"/>
  <c r="J67" i="1"/>
  <c r="J66" i="1" s="1"/>
  <c r="L214" i="1"/>
  <c r="M210" i="1" s="1"/>
  <c r="J73" i="1"/>
  <c r="J122" i="1"/>
  <c r="L144" i="1"/>
  <c r="J55" i="1"/>
  <c r="L101" i="1"/>
  <c r="L73" i="1"/>
  <c r="J31" i="1"/>
  <c r="J149" i="1"/>
  <c r="J79" i="1"/>
  <c r="J88" i="1"/>
  <c r="J87" i="1" s="1"/>
  <c r="L87" i="1"/>
  <c r="K117" i="1"/>
  <c r="K129" i="1"/>
  <c r="K161" i="1"/>
  <c r="K179" i="1"/>
  <c r="H24" i="1"/>
  <c r="L24" i="1" s="1"/>
  <c r="J24" i="1" s="1"/>
  <c r="K55" i="1"/>
  <c r="L203" i="1"/>
  <c r="J204" i="1"/>
  <c r="J203" i="1" s="1"/>
  <c r="L26" i="1"/>
  <c r="J27" i="1"/>
  <c r="J26" i="1" s="1"/>
  <c r="L117" i="1"/>
  <c r="J129" i="1"/>
  <c r="K32" i="1"/>
  <c r="K31" i="1" s="1"/>
  <c r="L31" i="1"/>
  <c r="L55" i="1"/>
  <c r="L112" i="1"/>
  <c r="J117" i="1"/>
  <c r="J179" i="1"/>
  <c r="J215" i="1"/>
  <c r="J214" i="1" s="1"/>
  <c r="L142" i="1"/>
  <c r="L149" i="1"/>
  <c r="L161" i="1"/>
  <c r="L179" i="1"/>
  <c r="L211" i="1"/>
  <c r="J21" i="1" l="1"/>
  <c r="L21" i="1"/>
  <c r="L129" i="1"/>
  <c r="J45" i="5"/>
  <c r="K45" i="5" s="1"/>
  <c r="E38" i="2" s="1"/>
  <c r="E39" i="2" s="1"/>
  <c r="E40" i="2" s="1"/>
  <c r="D61" i="2" s="1"/>
  <c r="M16" i="1" l="1"/>
</calcChain>
</file>

<file path=xl/sharedStrings.xml><?xml version="1.0" encoding="utf-8"?>
<sst xmlns="http://schemas.openxmlformats.org/spreadsheetml/2006/main" count="2009" uniqueCount="588">
  <si>
    <t>SOUPIS PRACÍ</t>
  </si>
  <si>
    <t>Stavba:</t>
  </si>
  <si>
    <t>Objekt:</t>
  </si>
  <si>
    <t>ROZPRACOVANÁ VERZE K 18.11.2019</t>
  </si>
  <si>
    <t>Místo:</t>
  </si>
  <si>
    <t>Datum:</t>
  </si>
  <si>
    <t>Zadavatel:</t>
  </si>
  <si>
    <t>Projektant:</t>
  </si>
  <si>
    <t>Zhotovitel:</t>
  </si>
  <si>
    <t>Zpracovatel:</t>
  </si>
  <si>
    <t>POLOŽKY</t>
  </si>
  <si>
    <t>PČ</t>
  </si>
  <si>
    <t>Typ</t>
  </si>
  <si>
    <t>Kód</t>
  </si>
  <si>
    <t>Popis</t>
  </si>
  <si>
    <t>MJ</t>
  </si>
  <si>
    <t>Množství</t>
  </si>
  <si>
    <t>J.cena [CZK]</t>
  </si>
  <si>
    <t>Přípočty celkem</t>
  </si>
  <si>
    <t>Odpočty celkem</t>
  </si>
  <si>
    <t>Nová cena po položkách</t>
  </si>
  <si>
    <t>ROZDÍL</t>
  </si>
  <si>
    <t>Náklady soupisu celkem</t>
  </si>
  <si>
    <t>D</t>
  </si>
  <si>
    <t>D1</t>
  </si>
  <si>
    <t>SO 00: Ostatní náklady</t>
  </si>
  <si>
    <t>D2</t>
  </si>
  <si>
    <t>VRN: Vedlejší rozpočtové náklady</t>
  </si>
  <si>
    <t>3a</t>
  </si>
  <si>
    <t>Provoz investora</t>
  </si>
  <si>
    <t>Kč</t>
  </si>
  <si>
    <t>vyjmuto z rozpočtu</t>
  </si>
  <si>
    <t>D3</t>
  </si>
  <si>
    <t>SO_01: Provozní objekt</t>
  </si>
  <si>
    <t>D4</t>
  </si>
  <si>
    <t>001: Zemní práce</t>
  </si>
  <si>
    <t>7a</t>
  </si>
  <si>
    <t>Hloubení rýh š do 2000 mm v hornině tř. 1 a 2 objemu do 1000 m3</t>
  </si>
  <si>
    <t>m3</t>
  </si>
  <si>
    <t>42*0,5*0,8 opěrná zídka</t>
  </si>
  <si>
    <t>8a</t>
  </si>
  <si>
    <t>Vodorovné přemístění do 10000 m výkopku/sypaniny z horniny tř. 1 až 4</t>
  </si>
  <si>
    <t>opěrná zídka</t>
  </si>
  <si>
    <t>10a</t>
  </si>
  <si>
    <t>Uložení sypaniny na skládky</t>
  </si>
  <si>
    <t>10b</t>
  </si>
  <si>
    <t>Poplatek za uložení stavebního odpadu - zeminy a kameniva na skládce</t>
  </si>
  <si>
    <t>t</t>
  </si>
  <si>
    <t>16,8*1,7 doopěrné zídky</t>
  </si>
  <si>
    <t>D5</t>
  </si>
  <si>
    <t>002: Základy</t>
  </si>
  <si>
    <t>13a</t>
  </si>
  <si>
    <t>K</t>
  </si>
  <si>
    <t>Základové pasy, prahy, věnce a ostruhy ze ŽB C 30/37</t>
  </si>
  <si>
    <t>základ pro OP - parkoviště 40,2*0,5*0,8</t>
  </si>
  <si>
    <t>21a</t>
  </si>
  <si>
    <t>Základová zeď tl do 300 mm z tvárnic ztraceného bednění včetně výplně z betonu tř. C 20/26</t>
  </si>
  <si>
    <t>m2</t>
  </si>
  <si>
    <t>opěrná zídka u parkoviště 40,3*1,2</t>
  </si>
  <si>
    <t>24a</t>
  </si>
  <si>
    <t>Výztuž základových zdí nosných betonářskou ocelí 10 506</t>
  </si>
  <si>
    <t>1,054 do opěrné zídky</t>
  </si>
  <si>
    <t>24b</t>
  </si>
  <si>
    <t>D+M</t>
  </si>
  <si>
    <t>ukončovací hlavy opěrné zídky</t>
  </si>
  <si>
    <t>bm</t>
  </si>
  <si>
    <t>opěrná zídka u parkoviště 42 bm</t>
  </si>
  <si>
    <t>ok</t>
  </si>
  <si>
    <t>D6</t>
  </si>
  <si>
    <t>003: Svislé konstrukce</t>
  </si>
  <si>
    <t>26</t>
  </si>
  <si>
    <t>311113153</t>
  </si>
  <si>
    <t>Nosná zeď tl do 250 mm z hladkých tvárnic ztraceného bednění včetně výplně z betonu tř. C 25/30</t>
  </si>
  <si>
    <t>úprava rozměrů</t>
  </si>
  <si>
    <t>26a</t>
  </si>
  <si>
    <t>Nosná zeď tl do 250 mm z hladkých tvárnic ztraceného bednění včetně výplně z betonu tř. C 25/3</t>
  </si>
  <si>
    <t>upraveno na 2 polosloupy šíře 1 m tl 300mm</t>
  </si>
  <si>
    <t>28</t>
  </si>
  <si>
    <t>311234001</t>
  </si>
  <si>
    <t>Zdivo jednovrstvé z cihel děrovaných do P10 na maltu M5 tl 175 mm</t>
  </si>
  <si>
    <t>odpočet zdiva štítové zdi - špatná výměra</t>
  </si>
  <si>
    <t>28a</t>
  </si>
  <si>
    <t>Zdivo jednovrstvé z cihel děrovaných tl 300 mm na maltu M5</t>
  </si>
  <si>
    <t>protiožární dělící stěna tl 300 mm</t>
  </si>
  <si>
    <t>29a</t>
  </si>
  <si>
    <t>311234051</t>
  </si>
  <si>
    <t>Zdivo jednovrstvé z cihel děrovaných do P10 na maltu M5 tl 300 mm</t>
  </si>
  <si>
    <t>(5+12+12)*1,8 = 52,2m2</t>
  </si>
  <si>
    <t>29b</t>
  </si>
  <si>
    <t>Bednění věnců zřízení</t>
  </si>
  <si>
    <t>(5+12+12)*0,43*2=27</t>
  </si>
  <si>
    <t>29c</t>
  </si>
  <si>
    <t>Bednění věnců odstranění</t>
  </si>
  <si>
    <t>29d</t>
  </si>
  <si>
    <t>Beton věnců C 25/30</t>
  </si>
  <si>
    <t>(29*0,43*0,3)=3,75m3</t>
  </si>
  <si>
    <t>34</t>
  </si>
  <si>
    <t>330321410</t>
  </si>
  <si>
    <t>Sloupy nebo pilíře ze ŽB tř. C 25/30 XC2 bez výztuže</t>
  </si>
  <si>
    <t>změna konstrukcí</t>
  </si>
  <si>
    <t>35</t>
  </si>
  <si>
    <t>331351321</t>
  </si>
  <si>
    <t>Zřízení bednění čtyřúhelníkových sloupů v do 6 m průřezu do 0,16 m2</t>
  </si>
  <si>
    <t>36</t>
  </si>
  <si>
    <t>331351322</t>
  </si>
  <si>
    <t>Odstranění bednění čtyřúhelníkových sloupů v do 6 m průřezu do 0,16 m2</t>
  </si>
  <si>
    <t>37</t>
  </si>
  <si>
    <t>331361821</t>
  </si>
  <si>
    <t>Výztuž sloupů hranatých betonářskou ocelí 10 505</t>
  </si>
  <si>
    <t>odpočet neprovádělo se</t>
  </si>
  <si>
    <t>38</t>
  </si>
  <si>
    <t>341321610</t>
  </si>
  <si>
    <t>Stěny nosné ze ŽB tř. C 30/37 XC4, XD2, XF2, XA1</t>
  </si>
  <si>
    <t>38a</t>
  </si>
  <si>
    <t>341321611</t>
  </si>
  <si>
    <t>((5+12+12+8)x0,3)x3,5 = 38,85</t>
  </si>
  <si>
    <t>39</t>
  </si>
  <si>
    <t>341351101</t>
  </si>
  <si>
    <t>Zřízení bednění jednostranného stěn nosných</t>
  </si>
  <si>
    <t>39a</t>
  </si>
  <si>
    <t>341351102</t>
  </si>
  <si>
    <t>((5+12+12+8))x3,5 =140</t>
  </si>
  <si>
    <t>40</t>
  </si>
  <si>
    <t>Odstranění bednění jednostranného stěn nosných</t>
  </si>
  <si>
    <t>40a</t>
  </si>
  <si>
    <t>41</t>
  </si>
  <si>
    <t>341351911</t>
  </si>
  <si>
    <t>Příplatek k cenám bednění nosných stěn za pohledový beton</t>
  </si>
  <si>
    <t>41a</t>
  </si>
  <si>
    <t>(5+12+12+8+8)x 3,5=162</t>
  </si>
  <si>
    <t>42</t>
  </si>
  <si>
    <t>341351R01</t>
  </si>
  <si>
    <t>Impregnace pohledového betonového povrchu nad terénem s obsahem silanů a silox. pro vnější prostory bez lesku</t>
  </si>
  <si>
    <t>42a</t>
  </si>
  <si>
    <t>43a</t>
  </si>
  <si>
    <t>341361821</t>
  </si>
  <si>
    <t>Výztuž stěn betonářskou ocelí 10 506</t>
  </si>
  <si>
    <t>80 kg/m3 - (44,192 - 38,85)=5,342 m3 =0,4274t = 18,954 -0,4274=18,526t</t>
  </si>
  <si>
    <t>D7</t>
  </si>
  <si>
    <t>004: Vodorovné konstrukce</t>
  </si>
  <si>
    <t>44a</t>
  </si>
  <si>
    <t>průvlak P 7 5,5*0,3*1,2</t>
  </si>
  <si>
    <t>úprava stěnového otvoru - neprovádí se</t>
  </si>
  <si>
    <t>47a</t>
  </si>
  <si>
    <t>Zřízení bednění nosníků a průvlaků bez podpěrné kce výšky přes 100 cm</t>
  </si>
  <si>
    <t>48a</t>
  </si>
  <si>
    <t>Odstranění bednění nosníků a průvlaků bez podpěrné kce výšky přes 100 cm</t>
  </si>
  <si>
    <t>52a</t>
  </si>
  <si>
    <t>Zřízení podpěrné konstrukce nosníků výšky podepření do 6 m pro nosník výšky přes 100 cm</t>
  </si>
  <si>
    <t>53a</t>
  </si>
  <si>
    <t>Odstranění podpěrné konstrukce nosníků výšky podepření do 6 m pro nosník výšky přes 100 cm</t>
  </si>
  <si>
    <t>54a</t>
  </si>
  <si>
    <t>Výztuž nosníků, volných trámů nebo průvlaků volných trámů betonářskou ocelí 10 505</t>
  </si>
  <si>
    <t>55a</t>
  </si>
  <si>
    <t>P03 až P05</t>
  </si>
  <si>
    <t>Ztužující pásy a věnce ze ŽB tř. C 25/30 XC2</t>
  </si>
  <si>
    <t>(7,3+16+12+7,3+16+12)*0,43*0,3</t>
  </si>
  <si>
    <t>56a</t>
  </si>
  <si>
    <t>Zřízení bednění ztužujících věnců</t>
  </si>
  <si>
    <t>(7,3+16+12+7,3+16+12)*0,43*2</t>
  </si>
  <si>
    <t>57a</t>
  </si>
  <si>
    <t>Odstranění bednění ztužujících věnců</t>
  </si>
  <si>
    <t>58a</t>
  </si>
  <si>
    <t>Výztuž ztužujících pásů a věnců betonářskou ocelí 10 506</t>
  </si>
  <si>
    <t>D8</t>
  </si>
  <si>
    <t>0061: Úpravy povrchu vnitřní</t>
  </si>
  <si>
    <t>61a</t>
  </si>
  <si>
    <t>k</t>
  </si>
  <si>
    <t>Vápenocementová omítka štuková dvouvrstvá vnitřních stěn nanášená strojně</t>
  </si>
  <si>
    <t>52,2 +(1,8*12)=73,8+27=100,8 č,m.P03</t>
  </si>
  <si>
    <t>D9</t>
  </si>
  <si>
    <t>0062: Úpravu povrchu vnější</t>
  </si>
  <si>
    <t>68a</t>
  </si>
  <si>
    <t>Zakládací soklová lišta s okapničkou - hrana nad soklem</t>
  </si>
  <si>
    <t>m</t>
  </si>
  <si>
    <t>70a</t>
  </si>
  <si>
    <t>Tenkovrstvá silikonsilikátová zrnitá omítka tl. 1,5 mm včetně penetrace vnějších podhledů (nanoporová omítka se škrábanou strukturou tl. 1,5mm ( struktura a barevnost dle navazující fasády)</t>
  </si>
  <si>
    <t>77a</t>
  </si>
  <si>
    <t>štít</t>
  </si>
  <si>
    <t>Tenkovrstvá silikonsilikátová zrnitá omítka tl. 2,0 mm včetně penetrace vnějších stěn</t>
  </si>
  <si>
    <t>D10</t>
  </si>
  <si>
    <t>0063: Podlahy a podlahové konstrukce</t>
  </si>
  <si>
    <t>85a</t>
  </si>
  <si>
    <t>Povrchová úprava průmyslových podlah vsypovou směsí tl 2 mm s přísadou korundu střední provoz</t>
  </si>
  <si>
    <t>vypouští se</t>
  </si>
  <si>
    <t>85b</t>
  </si>
  <si>
    <t>633121111</t>
  </si>
  <si>
    <t>Povrchová úprava průmyslových podlah vsypovou směsí tl 2 mm s přísadou korundu střední provoz - přehlazení</t>
  </si>
  <si>
    <t>změna finálního povrchu - pouze přehlazený povrch</t>
  </si>
  <si>
    <t>85c</t>
  </si>
  <si>
    <t>Povrchová úprava průmyslových podlah - řezání dilatačních spar</t>
  </si>
  <si>
    <t>změna finálního povrchu - dilatační spáry (28+28+29+29+30) = 144 bm</t>
  </si>
  <si>
    <t>D11</t>
  </si>
  <si>
    <t>009: Ostatní konstrukce a práce</t>
  </si>
  <si>
    <t>86a</t>
  </si>
  <si>
    <t>přístroj hasicí ruční práškový nebo pěnový s hasící schopností 183B Včetně osazení - zavěšení a informační tabulky</t>
  </si>
  <si>
    <t>kus</t>
  </si>
  <si>
    <t>doplněno mimo BPŘ</t>
  </si>
  <si>
    <t>D12</t>
  </si>
  <si>
    <t>0094: Lešení</t>
  </si>
  <si>
    <t>92</t>
  </si>
  <si>
    <t>944511111</t>
  </si>
  <si>
    <t>Montáž ochranné sítě z textilie z umělých vláken</t>
  </si>
  <si>
    <t>neprovádí se</t>
  </si>
  <si>
    <t>93</t>
  </si>
  <si>
    <t>944511211</t>
  </si>
  <si>
    <t>Příplatek k ochranné síti za první a ZKD den použití</t>
  </si>
  <si>
    <t>94</t>
  </si>
  <si>
    <t>944511811</t>
  </si>
  <si>
    <t>Demontáž ochranné sítě z textilie z umělých vláken</t>
  </si>
  <si>
    <t>95</t>
  </si>
  <si>
    <t>949101111</t>
  </si>
  <si>
    <t>Lešení pomocné pro objekty pozemních staveb s lešeňovou podlahou v do 1,9 m zatížení do 150 kg/m2</t>
  </si>
  <si>
    <t>95a</t>
  </si>
  <si>
    <t>Montáž lešení řadového rámového lehkého zatížení do 200 kg/m2 š do 0,9 m v do 10 m</t>
  </si>
  <si>
    <t>Lešení pro vnitřní omítky</t>
  </si>
  <si>
    <t>95b</t>
  </si>
  <si>
    <t>941211211</t>
  </si>
  <si>
    <t>95c</t>
  </si>
  <si>
    <t>941211811</t>
  </si>
  <si>
    <t>D14</t>
  </si>
  <si>
    <t>021: Silnoproud</t>
  </si>
  <si>
    <t>Kabel CYKY-J 5x2,5</t>
  </si>
  <si>
    <t>dle požadavku investora -doplněno</t>
  </si>
  <si>
    <t>TRUBKA 1525</t>
  </si>
  <si>
    <t>Příchytky,kolena apod. pro trubky</t>
  </si>
  <si>
    <t>ks</t>
  </si>
  <si>
    <t>Montáž kabeláže</t>
  </si>
  <si>
    <t>krabice nástěnné zásuvková skříň 1x400v,1x240v,jist 16A</t>
  </si>
  <si>
    <t>zásuvkový okruh</t>
  </si>
  <si>
    <t>úprava rozvaděče RS</t>
  </si>
  <si>
    <t>kpl</t>
  </si>
  <si>
    <t>dodávka stožáru lampy V.O do 12m</t>
  </si>
  <si>
    <t>včetně zem prací komplet</t>
  </si>
  <si>
    <t>kabeláž prosloup V.O</t>
  </si>
  <si>
    <t>Dodávka a montáž osvětlovacího tělesa prostožár V.O</t>
  </si>
  <si>
    <t>Kabeláž do chráničky pro venkovní zásuvku 2y230v u jímek</t>
  </si>
  <si>
    <t>zásuvka venkovní na pilíři 2x 230 V</t>
  </si>
  <si>
    <t>Předpoklad</t>
  </si>
  <si>
    <t>KAMEROVÝ SYSTÉM - kabeláž na kamerový systém</t>
  </si>
  <si>
    <t>rozšířená revize o VCP</t>
  </si>
  <si>
    <t>D15</t>
  </si>
  <si>
    <t>711: Izolace proti vodě a vlhkosti</t>
  </si>
  <si>
    <t>98a</t>
  </si>
  <si>
    <t>11163150</t>
  </si>
  <si>
    <t>lak asfaltový penetrační</t>
  </si>
  <si>
    <t>42 kg</t>
  </si>
  <si>
    <t>103a</t>
  </si>
  <si>
    <t>711142560</t>
  </si>
  <si>
    <t>Provedení izolace proti zemní vlhkosti pásy přitavením svislé NAIP</t>
  </si>
  <si>
    <t>(31+28+12+19+12+7) x 0,8 = 87,2m2</t>
  </si>
  <si>
    <t>103b</t>
  </si>
  <si>
    <t>62852254</t>
  </si>
  <si>
    <t>pásy s modifikovaným asfaltem tl. 4,0 mm vložka polyesterové rouno minerální jemnozrnný posyp</t>
  </si>
  <si>
    <t>obvod objektu - zpětný spoj</t>
  </si>
  <si>
    <t>103c</t>
  </si>
  <si>
    <t>711142562</t>
  </si>
  <si>
    <t>Urovnání podkladu - napojení spar</t>
  </si>
  <si>
    <t>103d</t>
  </si>
  <si>
    <t>hdi stěrka</t>
  </si>
  <si>
    <t>Dodávka a montáž HDI asf stěrky dle PD</t>
  </si>
  <si>
    <t>P03 obvod s dilatací,P04 a P05 komplet mezi armaturou + 90 mm na armaturu (12+16+7,3+7,3)*0,3</t>
  </si>
  <si>
    <t>D16</t>
  </si>
  <si>
    <t>713: Izolace tepelné</t>
  </si>
  <si>
    <t>109</t>
  </si>
  <si>
    <t>69331041</t>
  </si>
  <si>
    <t>drenážní rohož PE nelaminovaná 400g/m2</t>
  </si>
  <si>
    <t>vypouští se se skladby konstrukce</t>
  </si>
  <si>
    <t>D18</t>
  </si>
  <si>
    <t>760: Konstrukce sádrokartonové</t>
  </si>
  <si>
    <t>116</t>
  </si>
  <si>
    <t>59030157</t>
  </si>
  <si>
    <t>01/RU klapka revizní protipožární pro podhledy, 12,5 mm 60x80 cm</t>
  </si>
  <si>
    <t>vypouští sez PD PBŘ - není požadováno</t>
  </si>
  <si>
    <t>120</t>
  </si>
  <si>
    <t>763171213</t>
  </si>
  <si>
    <t>Montáž revizních klapek SDK kcí vel. do 0,5 m2 pro podhledy</t>
  </si>
  <si>
    <t>D19</t>
  </si>
  <si>
    <t>762: Konstrukce tesařské</t>
  </si>
  <si>
    <t>129</t>
  </si>
  <si>
    <t>762523104</t>
  </si>
  <si>
    <t>Položení podlahy z hoblovaných prken na sraz</t>
  </si>
  <si>
    <t>130</t>
  </si>
  <si>
    <t>762595001</t>
  </si>
  <si>
    <t>Spojovací prostředky pro položení dřevěných podlah a zakrytí kanálů</t>
  </si>
  <si>
    <t>D21</t>
  </si>
  <si>
    <t>764: Konstrukce klempířské</t>
  </si>
  <si>
    <t>139</t>
  </si>
  <si>
    <t>764222432</t>
  </si>
  <si>
    <t>Krycí lišta vytažené hydroizolace soklu z Al plechu rš 200 mm</t>
  </si>
  <si>
    <t>nahrazeno KZS</t>
  </si>
  <si>
    <t>D23</t>
  </si>
  <si>
    <t>766: Konstrukce truhlářské</t>
  </si>
  <si>
    <t>155</t>
  </si>
  <si>
    <t>61189995</t>
  </si>
  <si>
    <t>palubky obkladové hoblované š. 150mm, tl. 25mm - podhled římsy</t>
  </si>
  <si>
    <t>změna tvaru a provedení římsy</t>
  </si>
  <si>
    <t>155a</t>
  </si>
  <si>
    <t>fasádní úprava říms</t>
  </si>
  <si>
    <t>156</t>
  </si>
  <si>
    <t>766421224</t>
  </si>
  <si>
    <t>Montáž obložení podhledů jednoduchých palubkami modřínovými š přes 100 mm včetně povrchové konečné úpravy tenkovrstvou lazurou</t>
  </si>
  <si>
    <t>156a</t>
  </si>
  <si>
    <t>Montáž fasádní úprava říms</t>
  </si>
  <si>
    <t>D24</t>
  </si>
  <si>
    <t>767: Konstrukce zámečnické</t>
  </si>
  <si>
    <t>164a</t>
  </si>
  <si>
    <t>Žaluziové výplně expedice štípaného dřeva 3,6x3m, včetně obvodového rámu z Jeklu 50x50, tl. 3mm dodávka + montáž v kompletnosti dle výrobku 02/ŽAL , včetně konečné povrchové úpravy</t>
  </si>
  <si>
    <t>změna otvoru - budou vrata</t>
  </si>
  <si>
    <t>165a</t>
  </si>
  <si>
    <t>Montáž kovových slunolamů horizontálních</t>
  </si>
  <si>
    <t>169a</t>
  </si>
  <si>
    <t>Průmyslová zavěšená posuvná vrata na stěnu - závěsná dráha 3650/3750/2050/1950/4000 dodávka v kompletnosti dle výrobku specifikace investora</t>
  </si>
  <si>
    <t>dodávka místo okna dootvoru 3600/4000</t>
  </si>
  <si>
    <t>169b</t>
  </si>
  <si>
    <t>Montáž vrat garážových posuvných do ocelové konstrukce do 32 m2</t>
  </si>
  <si>
    <t>169c</t>
  </si>
  <si>
    <t>Vybourání otvoru (parapetní část) v ZB části zdiva č,m, P03</t>
  </si>
  <si>
    <t>3,6*0,3*1</t>
  </si>
  <si>
    <t>169d</t>
  </si>
  <si>
    <t>Začištění otvoru</t>
  </si>
  <si>
    <t>D25</t>
  </si>
  <si>
    <t>781: Obklady</t>
  </si>
  <si>
    <t>172</t>
  </si>
  <si>
    <t>59761408</t>
  </si>
  <si>
    <t>dlaždice keramické slinuté neglazované mrazuvzdorné barevná přes 9 do 12 ks/m2</t>
  </si>
  <si>
    <t>bude nahrazeno klempířsky</t>
  </si>
  <si>
    <t>173</t>
  </si>
  <si>
    <t>781744121</t>
  </si>
  <si>
    <t>Montáž obkladů vnějších z obkladaček hutných do 19 ks/m2 lepených flexibilním lepidlem</t>
  </si>
  <si>
    <t>174</t>
  </si>
  <si>
    <t>781749194</t>
  </si>
  <si>
    <t>Příplatek k montáži obkladů vnějších z obkladaček hutných za nerovný povrch</t>
  </si>
  <si>
    <t>174a</t>
  </si>
  <si>
    <t>obklad vnitřní</t>
  </si>
  <si>
    <t>obklad stěn u umyvadla dodávka obkladu 200 x 150</t>
  </si>
  <si>
    <t>požadavek objednatele</t>
  </si>
  <si>
    <t>174b</t>
  </si>
  <si>
    <t>obklad stěn u umyvadla montáž obkladu 200 x 150</t>
  </si>
  <si>
    <t>174d</t>
  </si>
  <si>
    <t>umyvadlo</t>
  </si>
  <si>
    <t>dodávka a montáž umyvydla 600 mm</t>
  </si>
  <si>
    <t>175e</t>
  </si>
  <si>
    <t>armatura</t>
  </si>
  <si>
    <t>dodávka a montáž armatur kanalizačních do DN 110</t>
  </si>
  <si>
    <t>kompletní dodávka od umyvadka do RŚ splaškové kanalizace</t>
  </si>
  <si>
    <t>175</t>
  </si>
  <si>
    <t>998781202</t>
  </si>
  <si>
    <t>Přesun hmot procentní pro obklady keramické v objektech v do 12 m</t>
  </si>
  <si>
    <t>%</t>
  </si>
  <si>
    <t>190</t>
  </si>
  <si>
    <t>55342R03</t>
  </si>
  <si>
    <t>brána posuvná samonosná s výplní z tahokovu rozměr křídla 6000+2650 x 1750 mm - Průjezd šířky 6 m, žárově zinkováno + PUR nátěr RAL 7000 (šedá), - vč příslušenství (bezpečnostní prvky)</t>
  </si>
  <si>
    <t>změna textové části</t>
  </si>
  <si>
    <t>190a</t>
  </si>
  <si>
    <t>brána posuvná nesená samonosná s výplní z tahokovu rozměr křídla 6000+2650 x 1750 mm - Průjezd šířky 6 m, žárově zinkováno  - vč příslušenství (bezpečnostní prvky)</t>
  </si>
  <si>
    <t>D30</t>
  </si>
  <si>
    <t>005: Komunikace</t>
  </si>
  <si>
    <t>1</t>
  </si>
  <si>
    <t>Zemní práce</t>
  </si>
  <si>
    <t>2a</t>
  </si>
  <si>
    <t>Vytrhání obrub</t>
  </si>
  <si>
    <t>zvětšení výměry - před novým vjezdem</t>
  </si>
  <si>
    <t>2</t>
  </si>
  <si>
    <t>Základy a zvláštní zakládání</t>
  </si>
  <si>
    <t>14a</t>
  </si>
  <si>
    <t>Zřízení opláštění žeber nebo trativodů geotextilií v rýze nebo zářezu sklonu do 1:2,6</t>
  </si>
  <si>
    <t>vzpouští se</t>
  </si>
  <si>
    <t>15a</t>
  </si>
  <si>
    <t>geotextílie silniční separační 500 g/m3</t>
  </si>
  <si>
    <t>16a</t>
  </si>
  <si>
    <t>Trativody drenážních trubek plastových flexibilních D do 160 mm - položení drenážní trubky</t>
  </si>
  <si>
    <t>17a</t>
  </si>
  <si>
    <t>trubka drenážní PE D 125 mm</t>
  </si>
  <si>
    <t>5</t>
  </si>
  <si>
    <t>Komunikace</t>
  </si>
  <si>
    <t>19a</t>
  </si>
  <si>
    <t>Podklad ze štěrkodrtě ŠD tl 200 mm</t>
  </si>
  <si>
    <t>pod trojúhelník parkoviště</t>
  </si>
  <si>
    <t>12a</t>
  </si>
  <si>
    <t>8x25t</t>
  </si>
  <si>
    <t>Podklad ze štrd 0/125 - dorovnání spádů - severní roh</t>
  </si>
  <si>
    <t>výškové urovnání spádů komunikace - severní část</t>
  </si>
  <si>
    <t>12b</t>
  </si>
  <si>
    <t>23,5*2*0,2</t>
  </si>
  <si>
    <t>zhotovení přejezdové desky nad propustkem  z betonu C 20/25</t>
  </si>
  <si>
    <t xml:space="preserve"> nový propustek DN 315 v místě spoje asf ploch</t>
  </si>
  <si>
    <t>12c</t>
  </si>
  <si>
    <t>armatura desky sítí Kari oka 100/100 pr 8mm</t>
  </si>
  <si>
    <t>12d</t>
  </si>
  <si>
    <t>bednění desky zřízení</t>
  </si>
  <si>
    <t>12e</t>
  </si>
  <si>
    <t>dednění desky odstranění</t>
  </si>
  <si>
    <t>12f</t>
  </si>
  <si>
    <t>zžízení čela propustku nad potrubím DN 300 ZB  300 mm včetně základu</t>
  </si>
  <si>
    <t>Podklad ze směsi stmelené cementem SC C 8/10 tl 120 mm</t>
  </si>
  <si>
    <t>Kladení dlažby z betonových zámkových dlaždic pozemních komunikací tl. 100 mm plochy do 300 m2</t>
  </si>
  <si>
    <t>30a</t>
  </si>
  <si>
    <t>betonová zámková dlažba 200x165x100 barva přírodní</t>
  </si>
  <si>
    <t>31a</t>
  </si>
  <si>
    <t>Dvorní vpust</t>
  </si>
  <si>
    <t>91</t>
  </si>
  <si>
    <t>Doplňující konstrukce práce pozemních komunikací</t>
  </si>
  <si>
    <t>33a</t>
  </si>
  <si>
    <t>Osazení vodícího proužku z betonových prefabrikátovaných desek do lože z betonu šířka 250 mm</t>
  </si>
  <si>
    <t>změna odvodnění plochy asf</t>
  </si>
  <si>
    <t>34a</t>
  </si>
  <si>
    <t>přídlažba betonová 500x250x80</t>
  </si>
  <si>
    <t>35a</t>
  </si>
  <si>
    <t>916131213</t>
  </si>
  <si>
    <t>Osazení silničního obrubníku betonového stojatého s boční opěrou do lože z betonu prostého</t>
  </si>
  <si>
    <t>36a</t>
  </si>
  <si>
    <t>M</t>
  </si>
  <si>
    <t>916131213R</t>
  </si>
  <si>
    <t>obrubník betonový silniční 1000x150x300</t>
  </si>
  <si>
    <t>36b</t>
  </si>
  <si>
    <t>Osazení silničního obrubníku Štěrbinový žlad s obrubou ABO 12  do lože z betonu prostého v délce 3990 mm</t>
  </si>
  <si>
    <t>36c</t>
  </si>
  <si>
    <t>Štěrbinové žlaby SZ I základní průběžná štěrbina délky 3995 mm D 400 s obrubou ABO 12</t>
  </si>
  <si>
    <t>36d</t>
  </si>
  <si>
    <t>Čistící kus pro ABO 12</t>
  </si>
  <si>
    <t>36e</t>
  </si>
  <si>
    <t>Žlab příkopový Best II</t>
  </si>
  <si>
    <t>36f</t>
  </si>
  <si>
    <t>osazení</t>
  </si>
  <si>
    <t>Osazení příkopové tvárnice do betonového lože</t>
  </si>
  <si>
    <t>Osazení odvodňovacího betonový žlab š. 200 mm</t>
  </si>
  <si>
    <t>935113111R2</t>
  </si>
  <si>
    <t>betonový žlab š. 200 mm např. Best žlab II</t>
  </si>
  <si>
    <t>Osazení štěrbinových žlabů dle specifikace do betonovéholože</t>
  </si>
  <si>
    <t>43b</t>
  </si>
  <si>
    <t>Štěrbinové žlaby SZ I základní průběžná štěrbina délky 3995 mm D 400</t>
  </si>
  <si>
    <t>43c</t>
  </si>
  <si>
    <t>Cistící kus pro žlaby SZ I</t>
  </si>
  <si>
    <t>99</t>
  </si>
  <si>
    <t>Staveništní přesun hmot</t>
  </si>
  <si>
    <t>998225112</t>
  </si>
  <si>
    <t>Přesun hmot pro pozemní komunikace s krytem živičným</t>
  </si>
  <si>
    <t>D35</t>
  </si>
  <si>
    <t>008: Vedení dálková a přípojná - kanalizace dešťová</t>
  </si>
  <si>
    <t>4</t>
  </si>
  <si>
    <t>Vodorovné konstrukce</t>
  </si>
  <si>
    <t>871350421</t>
  </si>
  <si>
    <t>Montáž kanalizačního potrubí korugovaného SN 12 z polypropylenu DN 200</t>
  </si>
  <si>
    <t>trubka kanalizační PP SN 12, dl. 1m, DN 200</t>
  </si>
  <si>
    <t>trubka kanalizační PP SN 12, dl. 3m, DN 150</t>
  </si>
  <si>
    <t>286171431</t>
  </si>
  <si>
    <t>trubka kanalizační PP SN 12, dl. 3m, DN 201</t>
  </si>
  <si>
    <t>286171511</t>
  </si>
  <si>
    <t>trubka kanalizační PP SN 12, dl.6m, DN 201</t>
  </si>
  <si>
    <t>trubka kanalizační DN 315 dl.2m</t>
  </si>
  <si>
    <t>19b</t>
  </si>
  <si>
    <t>Montáž potrubí kanalizačního DN 315</t>
  </si>
  <si>
    <t>20a</t>
  </si>
  <si>
    <t>877310411</t>
  </si>
  <si>
    <t>Montáž kolen na potrubí z PP trub korugovaných DN 151</t>
  </si>
  <si>
    <t>286171821</t>
  </si>
  <si>
    <t>koleno kanalizační PP 45 ° DN 151</t>
  </si>
  <si>
    <t>22a</t>
  </si>
  <si>
    <t>877310431</t>
  </si>
  <si>
    <t>Montáž spojek na potrubí z PP trub korugovaných DN 151</t>
  </si>
  <si>
    <t>23a</t>
  </si>
  <si>
    <t>286172441</t>
  </si>
  <si>
    <t>redukce DN 150/DN126</t>
  </si>
  <si>
    <t>27a</t>
  </si>
  <si>
    <t>286172071</t>
  </si>
  <si>
    <t>odbočka PP 45° DN 200/DN151</t>
  </si>
  <si>
    <t>877350431</t>
  </si>
  <si>
    <t>Montáž spojek na potrubí z PP trub korugovaných DN 201</t>
  </si>
  <si>
    <t>286172451</t>
  </si>
  <si>
    <t>redukce DN 200/DN150</t>
  </si>
  <si>
    <t>894211112</t>
  </si>
  <si>
    <t>Šachty kanalizační kruhové z prostého betonu na potrubí DN 200 dno beton tř. C 25/31</t>
  </si>
  <si>
    <t>899102112</t>
  </si>
  <si>
    <t>Osazení poklopů litinových nebo ocelových včetně rámů hmotnosti nad 50 do 100 kg</t>
  </si>
  <si>
    <t>552414061</t>
  </si>
  <si>
    <t>poklop šachtový s rámem DN600 třída D 400, s odvětráním</t>
  </si>
  <si>
    <t>37a</t>
  </si>
  <si>
    <t>899721112</t>
  </si>
  <si>
    <t>Signalizační vodič DN do 150 mm na potrubí PVC</t>
  </si>
  <si>
    <t>899722114</t>
  </si>
  <si>
    <t>Krytí potrubí z plastů výstražnou fólií z PVC 34cm</t>
  </si>
  <si>
    <t>721242117</t>
  </si>
  <si>
    <t>Lapač střešních splavenin z PP se zápachovou klapkou a lapacím košem DN 126</t>
  </si>
  <si>
    <t>721</t>
  </si>
  <si>
    <t>Zdravotechnika - vnitřní kanalizace</t>
  </si>
  <si>
    <t>řeší položka 40a BYLO ODEČTENO 2x</t>
  </si>
  <si>
    <t>008: Vedení dálková a přípojná - VODOVOD</t>
  </si>
  <si>
    <t>1a</t>
  </si>
  <si>
    <t>Hloubení rýh š do 2000 mm v hornině tř. 3 objemu do 100 m3</t>
  </si>
  <si>
    <t>prodloužení trasy</t>
  </si>
  <si>
    <t>5a</t>
  </si>
  <si>
    <t>Nakládání výkopku z hornin tř. 1 až 4 do 100 m4</t>
  </si>
  <si>
    <t>6a</t>
  </si>
  <si>
    <t>174101102</t>
  </si>
  <si>
    <t>Zásyp jam, šachet rýh nebo kolem objektů sypaninou se zhutněním</t>
  </si>
  <si>
    <t>175111102</t>
  </si>
  <si>
    <t>Obsypání potrubí ručně sypaninou bez prohození, uloženou do 3 m</t>
  </si>
  <si>
    <t>58331352</t>
  </si>
  <si>
    <t>kamenivo těžené drobné frakce 0-4</t>
  </si>
  <si>
    <t>9a</t>
  </si>
  <si>
    <t>175111110</t>
  </si>
  <si>
    <t>Příplatek k obsypání potrubí za ruční prohození sypaniny, uložené do 3 m</t>
  </si>
  <si>
    <t>451572112</t>
  </si>
  <si>
    <t>Lože pod potrubí otevřený výkop z kameniva drobného těženého</t>
  </si>
  <si>
    <t>8</t>
  </si>
  <si>
    <t>Trubní vedení</t>
  </si>
  <si>
    <t>11a</t>
  </si>
  <si>
    <t>871171142</t>
  </si>
  <si>
    <t>Montáž potrubí z PE100 SDR 11 otevřený výkop svařovaných na tupo D 40 x 3,7 mm</t>
  </si>
  <si>
    <t>286135961</t>
  </si>
  <si>
    <t>potrubí dvouvrstvé PE100 s 10% signalizační vrstvou, SDR 11, 40x3,7. L=12m</t>
  </si>
  <si>
    <t>Potrubí LPE SDR 11 PE100 - PLYN</t>
  </si>
  <si>
    <t>Pol3</t>
  </si>
  <si>
    <t>D 32x4</t>
  </si>
  <si>
    <t>Pol4</t>
  </si>
  <si>
    <t>D 63x5,8 ochr. Tr.</t>
  </si>
  <si>
    <t>Pol11</t>
  </si>
  <si>
    <t>Výkop jámy - v místě napojení 1,5x1,5-hl-1,2</t>
  </si>
  <si>
    <t>Pol12</t>
  </si>
  <si>
    <t>Výkop rýhy 0,5x1,2x- 3m</t>
  </si>
  <si>
    <t>Pol13</t>
  </si>
  <si>
    <t>Písek</t>
  </si>
  <si>
    <t>Pol14</t>
  </si>
  <si>
    <t>Ochranná folie- žlutá</t>
  </si>
  <si>
    <t>Pol15</t>
  </si>
  <si>
    <t>Signal. Vodič Cu 2,5</t>
  </si>
  <si>
    <t>Pol16</t>
  </si>
  <si>
    <t>Zához</t>
  </si>
  <si>
    <t>pryč</t>
  </si>
  <si>
    <t>NÁZEV STAVBY</t>
  </si>
  <si>
    <t>Technické zázemí - SLUŽBY LIŠOV</t>
  </si>
  <si>
    <t xml:space="preserve"> OZNÁMENÍ  ZMĚNY - ZMĚNOVÝ LIST :</t>
  </si>
  <si>
    <t xml:space="preserve">   Číslo :</t>
  </si>
  <si>
    <t xml:space="preserve"> ( méněpráce nebo vícepráce )</t>
  </si>
  <si>
    <t>Předmět změny :</t>
  </si>
  <si>
    <t xml:space="preserve">Důvod změny : </t>
  </si>
  <si>
    <t>Odkaz na rozpočtovou část:</t>
  </si>
  <si>
    <t>Odkaz na výkresy:</t>
  </si>
  <si>
    <t>Odkaz na jinou část smlouvy:</t>
  </si>
  <si>
    <t>není</t>
  </si>
  <si>
    <r>
      <t xml:space="preserve">POPIS ZMĚNY :  </t>
    </r>
    <r>
      <rPr>
        <sz val="10"/>
        <color indexed="8"/>
        <rFont val="Arial"/>
        <family val="2"/>
        <charset val="238"/>
      </rPr>
      <t xml:space="preserve">/ Popis původního řešení a nového řešení / </t>
    </r>
  </si>
  <si>
    <r>
      <t xml:space="preserve">VÝPOČET NÁKLADŮ ZMĚNY:    </t>
    </r>
    <r>
      <rPr>
        <sz val="10"/>
        <color indexed="8"/>
        <rFont val="Arial"/>
        <family val="2"/>
        <charset val="238"/>
      </rPr>
      <t>/ Viz samostatný rozpočet - nebo předběžný rozpočet /</t>
    </r>
  </si>
  <si>
    <t>CELKOVÁ CENA</t>
  </si>
  <si>
    <t>DPH 21%</t>
  </si>
  <si>
    <t>CENA CELKEM</t>
  </si>
  <si>
    <t>Odsouhlasil a potvrdil:</t>
  </si>
  <si>
    <t>Zástupce objednatele:</t>
  </si>
  <si>
    <t>jméno</t>
  </si>
  <si>
    <t>podpis</t>
  </si>
  <si>
    <t>datum</t>
  </si>
  <si>
    <t>Zástupce zhotovitele (TSGP):</t>
  </si>
  <si>
    <t>Zástupce projektanta:</t>
  </si>
  <si>
    <t>neuvádí se</t>
  </si>
  <si>
    <t>Manažer projektu:</t>
  </si>
  <si>
    <r>
      <t xml:space="preserve">Toto </t>
    </r>
    <r>
      <rPr>
        <u/>
        <sz val="11"/>
        <color rgb="FF000000"/>
        <rFont val="Calibri"/>
        <family val="2"/>
        <charset val="238"/>
      </rPr>
      <t>Oznámení změny-Změnový list</t>
    </r>
    <r>
      <rPr>
        <sz val="10"/>
        <color indexed="8"/>
        <rFont val="Arial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nesmí být považován </t>
    </r>
    <r>
      <rPr>
        <sz val="10"/>
        <color indexed="8"/>
        <rFont val="Arial"/>
        <family val="2"/>
        <charset val="238"/>
      </rPr>
      <t xml:space="preserve">za </t>
    </r>
    <r>
      <rPr>
        <u/>
        <sz val="11"/>
        <color rgb="FF000000"/>
        <rFont val="Calibri"/>
        <family val="2"/>
        <charset val="238"/>
      </rPr>
      <t>Pokyn ke změně</t>
    </r>
    <r>
      <rPr>
        <sz val="10"/>
        <color indexed="8"/>
        <rFont val="Arial"/>
        <family val="2"/>
        <charset val="238"/>
      </rPr>
      <t>, jedná se pouze o Návrh</t>
    </r>
  </si>
  <si>
    <r>
      <t xml:space="preserve">na ocenění změny. </t>
    </r>
    <r>
      <rPr>
        <b/>
        <sz val="11"/>
        <color rgb="FF000000"/>
        <rFont val="Calibri"/>
        <family val="2"/>
        <charset val="238"/>
      </rPr>
      <t xml:space="preserve">Na základě potvrzení Změnového listu </t>
    </r>
    <r>
      <rPr>
        <sz val="10"/>
        <color indexed="8"/>
        <rFont val="Arial"/>
        <family val="2"/>
        <charset val="238"/>
      </rPr>
      <t xml:space="preserve">bude vystaven </t>
    </r>
    <r>
      <rPr>
        <b/>
        <u/>
        <sz val="11"/>
        <color rgb="FF000000"/>
        <rFont val="Calibri"/>
        <family val="2"/>
        <charset val="238"/>
      </rPr>
      <t>Pokyn ke změně</t>
    </r>
    <r>
      <rPr>
        <b/>
        <sz val="11"/>
        <color rgb="FF000000"/>
        <rFont val="Calibri"/>
        <family val="2"/>
        <charset val="238"/>
      </rPr>
      <t xml:space="preserve"> </t>
    </r>
  </si>
  <si>
    <r>
      <t xml:space="preserve">pokrývající daný rozsah prací a </t>
    </r>
    <r>
      <rPr>
        <b/>
        <sz val="11"/>
        <color rgb="FF000000"/>
        <rFont val="Calibri"/>
        <family val="2"/>
        <charset val="238"/>
      </rPr>
      <t>po jeho potvrzení budou práce zahájeny .</t>
    </r>
  </si>
  <si>
    <t>POKYN  KE  ZMĚNĚ  :</t>
  </si>
  <si>
    <t>Číslo :</t>
  </si>
  <si>
    <r>
      <t>V souladu s uzavřenou Smlouvou o dílo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rgb="FF000000"/>
        <rFont val="Calibri"/>
        <family val="2"/>
        <charset val="238"/>
      </rPr>
      <t>vydáváme pokyn, abyste provedli následující změnu</t>
    </r>
  </si>
  <si>
    <t>prováděného díla dle výše uvedeného  Oznámení změny - Změnového listu:</t>
  </si>
  <si>
    <t>Změna ceny vč DPH v Kč:</t>
  </si>
  <si>
    <t>Nový termín dokončení:</t>
  </si>
  <si>
    <t>má vliv na konečný termín</t>
  </si>
  <si>
    <t>Zodpovědný zástupce objednatele :</t>
  </si>
  <si>
    <t>Zodpovědný zástupce zhotovitele (TSGP):</t>
  </si>
  <si>
    <t xml:space="preserve"> </t>
  </si>
  <si>
    <t>Veškeré práce dle tohoto pokynu ke změně musí splňovat podmínky smlouvy o dílo.</t>
  </si>
  <si>
    <r>
      <t xml:space="preserve">Po potvrzení </t>
    </r>
    <r>
      <rPr>
        <sz val="10"/>
        <color indexed="8"/>
        <rFont val="Arial"/>
        <family val="2"/>
        <charset val="238"/>
      </rPr>
      <t xml:space="preserve">tohoto </t>
    </r>
    <r>
      <rPr>
        <u/>
        <sz val="11"/>
        <color rgb="FF000000"/>
        <rFont val="Calibri"/>
        <family val="2"/>
        <charset val="238"/>
      </rPr>
      <t>Pokynu ke změně,</t>
    </r>
    <r>
      <rPr>
        <sz val="10"/>
        <color indexed="8"/>
        <rFont val="Arial"/>
        <family val="2"/>
        <charset val="238"/>
      </rPr>
      <t xml:space="preserve"> pokrývající daný rozsah prací,</t>
    </r>
    <r>
      <rPr>
        <sz val="10"/>
        <color indexed="8"/>
        <rFont val="Arial"/>
        <family val="2"/>
        <charset val="238"/>
      </rPr>
      <t xml:space="preserve"> budou práce zahájeny.</t>
    </r>
  </si>
  <si>
    <t>ZL 005</t>
  </si>
  <si>
    <t>005</t>
  </si>
  <si>
    <t>1) Došlo k dorovnání výškových poměrů spádů komunikace a odstavné plochy včetně výstavby nové opěrné stěny</t>
  </si>
  <si>
    <t>a rozšíření zpevněných dlážděných ploch u ulice Luční</t>
  </si>
  <si>
    <t>Změna dle § 222 odst 6 Zákona ZVZ</t>
  </si>
  <si>
    <t>Změna dle § 222 odst 4 Zákona ZVZ</t>
  </si>
  <si>
    <t>2) V rámci úpravy spádových poměnrů k ulici Luční, bylo nutno toto vyřešit výstavbou opěrné zídky</t>
  </si>
  <si>
    <t>CELKEM</t>
  </si>
  <si>
    <t>ZL 006</t>
  </si>
  <si>
    <t>PD neřešila spádové poměry v prostoru zelených a komunikace včetně dlážděných prloch. Bylo nutné vybudovat opěrnou zídku a zároveň došlo k změně spádových poměrů v prloše.</t>
  </si>
  <si>
    <t>006</t>
  </si>
  <si>
    <t>Změna se projevila v časovém harmonogramu stavby a termín byl prodloužen do 31.12.2019</t>
  </si>
  <si>
    <t>1) Vrámci logistiky skladu ve skladu č.m.P04 byl změněn okenní otvor na nový obslužný vjezd včetně úpravy komunikace a nových posuvných vjezdvých vrat</t>
  </si>
  <si>
    <t>2) Rozšíření rozvodů elektorinstalace včetně koncových prvků</t>
  </si>
  <si>
    <t>3) Rozšíření zdravotechnických instalací</t>
  </si>
  <si>
    <t>V rámci upřesnění provozních nároků areálu bylo doplněno arozšířeno jeho vybavení</t>
  </si>
  <si>
    <t>upraveno o odpočet lišt u oken s žaluziemi</t>
  </si>
  <si>
    <t>Ostatní je v základním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</si>
</sst>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.00\ [$Kč-405]_-;\-* #,##0.00\ [$Kč-405]_-;_-* &quot;-&quot;??\ [$Kč-405]_-;_-@_-"/>
    <numFmt numFmtId="166" formatCode="#,##0.000"/>
    <numFmt numFmtId="167" formatCode="dd&quot;.&quot;mm&quot;.&quot;yyyy"/>
  </numFmts>
  <fonts count="44" x14ac:knownFonts="1">
    <font>
      <sz val="11"/>
      <color theme="1"/>
      <name val="Calibri"/>
      <family val="2"/>
      <charset val="238"/>
      <scheme val="minor"/>
    </font>
    <font>
      <b/>
      <sz val="14"/>
      <name val="Arial CE"/>
    </font>
    <font>
      <sz val="10"/>
      <color rgb="FF969696"/>
      <name val="Arial CE"/>
    </font>
    <font>
      <b/>
      <sz val="16"/>
      <name val="Arial CE"/>
      <charset val="238"/>
    </font>
    <font>
      <b/>
      <sz val="11"/>
      <name val="Arial CE"/>
    </font>
    <font>
      <sz val="10"/>
      <name val="Arial CE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</font>
    <font>
      <b/>
      <sz val="9"/>
      <name val="Arial CE"/>
      <charset val="238"/>
    </font>
    <font>
      <b/>
      <sz val="12"/>
      <color rgb="FF960000"/>
      <name val="Arial CE"/>
    </font>
    <font>
      <b/>
      <sz val="18"/>
      <color rgb="FFFF0000"/>
      <name val="Arial CE"/>
      <charset val="238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sz val="14"/>
      <color rgb="FF003366"/>
      <name val="Arial CE"/>
    </font>
    <font>
      <b/>
      <sz val="9"/>
      <color rgb="FFFF0000"/>
      <name val="Arial CE"/>
      <charset val="238"/>
    </font>
    <font>
      <b/>
      <sz val="9"/>
      <name val="Arial CE"/>
    </font>
    <font>
      <b/>
      <sz val="9"/>
      <color rgb="FFFF0000"/>
      <name val="Arial CE"/>
    </font>
    <font>
      <b/>
      <sz val="8"/>
      <color rgb="FFFF0000"/>
      <name val="Arial CE"/>
      <charset val="238"/>
    </font>
    <font>
      <sz val="9"/>
      <color rgb="FFFF0000"/>
      <name val="Arial CE"/>
    </font>
    <font>
      <sz val="8"/>
      <color rgb="FFFF0000"/>
      <name val="Arial CE"/>
    </font>
    <font>
      <sz val="8"/>
      <name val="Arial CE"/>
    </font>
    <font>
      <b/>
      <sz val="8"/>
      <color rgb="FFFF0000"/>
      <name val="Arial CE"/>
    </font>
    <font>
      <b/>
      <sz val="14"/>
      <color rgb="FFFF0000"/>
      <name val="Arial CE"/>
      <charset val="238"/>
    </font>
    <font>
      <b/>
      <i/>
      <sz val="9"/>
      <color rgb="FFFF0000"/>
      <name val="Arial CE"/>
      <charset val="238"/>
    </font>
    <font>
      <b/>
      <i/>
      <sz val="9"/>
      <name val="Arial CE"/>
      <charset val="238"/>
    </font>
    <font>
      <sz val="10"/>
      <name val="Arial CE"/>
      <family val="2"/>
    </font>
    <font>
      <sz val="11"/>
      <name val="Arial CE"/>
      <family val="2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Helv"/>
      <charset val="238"/>
    </font>
    <font>
      <b/>
      <u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2D2D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 style="medium">
        <color indexed="64"/>
      </left>
      <right style="medium">
        <color indexed="64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medium">
        <color indexed="64"/>
      </left>
      <right style="medium">
        <color indexed="64"/>
      </right>
      <top style="hair">
        <color rgb="FF96969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969696"/>
      </left>
      <right style="hair">
        <color rgb="FF969696"/>
      </right>
      <top/>
      <bottom/>
      <diagonal/>
    </border>
    <border>
      <left style="hair">
        <color rgb="FF969696"/>
      </left>
      <right/>
      <top/>
      <bottom/>
      <diagonal/>
    </border>
    <border>
      <left style="medium">
        <color indexed="64"/>
      </left>
      <right style="hair">
        <color rgb="FF969696"/>
      </right>
      <top style="medium">
        <color indexed="64"/>
      </top>
      <bottom style="medium">
        <color indexed="64"/>
      </bottom>
      <diagonal/>
    </border>
    <border>
      <left style="hair">
        <color rgb="FF969696"/>
      </left>
      <right style="hair">
        <color rgb="FF969696"/>
      </right>
      <top style="medium">
        <color indexed="64"/>
      </top>
      <bottom style="medium">
        <color indexed="64"/>
      </bottom>
      <diagonal/>
    </border>
    <border>
      <left style="hair">
        <color rgb="FF96969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969696"/>
      </right>
      <top style="medium">
        <color indexed="64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medium">
        <color indexed="64"/>
      </top>
      <bottom style="hair">
        <color rgb="FF969696"/>
      </bottom>
      <diagonal/>
    </border>
    <border>
      <left style="hair">
        <color rgb="FF969696"/>
      </left>
      <right/>
      <top style="medium">
        <color indexed="64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969696"/>
      </bottom>
      <diagonal/>
    </border>
    <border>
      <left style="medium">
        <color indexed="64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hair">
        <color rgb="FF969696"/>
      </right>
      <top/>
      <bottom style="medium">
        <color indexed="64"/>
      </bottom>
      <diagonal/>
    </border>
    <border>
      <left style="hair">
        <color rgb="FF969696"/>
      </left>
      <right style="hair">
        <color rgb="FF969696"/>
      </right>
      <top/>
      <bottom style="medium">
        <color indexed="64"/>
      </bottom>
      <diagonal/>
    </border>
    <border>
      <left style="hair">
        <color rgb="FF969696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0" fillId="0" borderId="0" applyNumberFormat="0" applyBorder="0" applyProtection="0"/>
    <xf numFmtId="0" fontId="42" fillId="0" borderId="0"/>
  </cellStyleXfs>
  <cellXfs count="481">
    <xf numFmtId="0" fontId="0" fillId="0" borderId="0" xfId="0"/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0" fillId="4" borderId="9" xfId="0" applyNumberFormat="1" applyFont="1" applyFill="1" applyBorder="1"/>
    <xf numFmtId="4" fontId="10" fillId="0" borderId="9" xfId="0" applyNumberFormat="1" applyFont="1" applyBorder="1"/>
    <xf numFmtId="4" fontId="11" fillId="0" borderId="4" xfId="0" applyNumberFormat="1" applyFont="1" applyBorder="1" applyAlignment="1">
      <alignment vertic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3" fillId="5" borderId="10" xfId="0" applyNumberFormat="1" applyFont="1" applyFill="1" applyBorder="1"/>
    <xf numFmtId="4" fontId="13" fillId="6" borderId="11" xfId="0" applyNumberFormat="1" applyFont="1" applyFill="1" applyBorder="1"/>
    <xf numFmtId="4" fontId="13" fillId="0" borderId="11" xfId="0" applyNumberFormat="1" applyFont="1" applyBorder="1"/>
    <xf numFmtId="0" fontId="12" fillId="4" borderId="3" xfId="0" applyFont="1" applyFill="1" applyBorder="1"/>
    <xf numFmtId="0" fontId="12" fillId="4" borderId="12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2" fillId="4" borderId="12" xfId="0" applyFont="1" applyFill="1" applyBorder="1"/>
    <xf numFmtId="4" fontId="14" fillId="4" borderId="9" xfId="0" applyNumberFormat="1" applyFont="1" applyFill="1" applyBorder="1"/>
    <xf numFmtId="4" fontId="15" fillId="7" borderId="9" xfId="0" applyNumberFormat="1" applyFont="1" applyFill="1" applyBorder="1"/>
    <xf numFmtId="0" fontId="0" fillId="0" borderId="1" xfId="0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166" fontId="16" fillId="0" borderId="13" xfId="0" applyNumberFormat="1" applyFont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4" fontId="16" fillId="5" borderId="13" xfId="0" applyNumberFormat="1" applyFont="1" applyFill="1" applyBorder="1" applyAlignment="1" applyProtection="1">
      <alignment vertical="center"/>
      <protection locked="0"/>
    </xf>
    <xf numFmtId="4" fontId="16" fillId="6" borderId="13" xfId="0" applyNumberFormat="1" applyFont="1" applyFill="1" applyBorder="1" applyAlignment="1" applyProtection="1">
      <alignment vertical="center"/>
      <protection locked="0"/>
    </xf>
    <xf numFmtId="4" fontId="16" fillId="2" borderId="13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6" fontId="9" fillId="0" borderId="13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9" fillId="5" borderId="13" xfId="0" applyNumberFormat="1" applyFont="1" applyFill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66" fontId="9" fillId="0" borderId="15" xfId="0" applyNumberFormat="1" applyFont="1" applyBorder="1" applyAlignment="1" applyProtection="1">
      <alignment vertical="center"/>
      <protection locked="0"/>
    </xf>
    <xf numFmtId="4" fontId="9" fillId="0" borderId="15" xfId="0" applyNumberFormat="1" applyFont="1" applyBorder="1" applyAlignment="1" applyProtection="1">
      <alignment vertical="center"/>
      <protection locked="0"/>
    </xf>
    <xf numFmtId="4" fontId="9" fillId="5" borderId="15" xfId="0" applyNumberFormat="1" applyFont="1" applyFill="1" applyBorder="1" applyAlignment="1" applyProtection="1">
      <alignment vertical="center"/>
      <protection locked="0"/>
    </xf>
    <xf numFmtId="4" fontId="16" fillId="6" borderId="15" xfId="0" applyNumberFormat="1" applyFont="1" applyFill="1" applyBorder="1" applyAlignment="1" applyProtection="1">
      <alignment vertical="center"/>
      <protection locked="0"/>
    </xf>
    <xf numFmtId="4" fontId="16" fillId="2" borderId="15" xfId="0" applyNumberFormat="1" applyFont="1" applyFill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6" fontId="17" fillId="0" borderId="13" xfId="0" applyNumberFormat="1" applyFont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Border="1" applyAlignment="1" applyProtection="1">
      <alignment vertical="center"/>
      <protection locked="0"/>
    </xf>
    <xf numFmtId="4" fontId="17" fillId="0" borderId="15" xfId="0" applyNumberFormat="1" applyFont="1" applyBorder="1" applyAlignment="1" applyProtection="1">
      <alignment vertical="center"/>
      <protection locked="0"/>
    </xf>
    <xf numFmtId="4" fontId="9" fillId="5" borderId="18" xfId="0" applyNumberFormat="1" applyFont="1" applyFill="1" applyBorder="1" applyAlignment="1" applyProtection="1">
      <alignment vertical="center"/>
      <protection locked="0"/>
    </xf>
    <xf numFmtId="4" fontId="9" fillId="5" borderId="20" xfId="0" applyNumberFormat="1" applyFont="1" applyFill="1" applyBorder="1" applyAlignment="1" applyProtection="1">
      <alignment vertical="center"/>
      <protection locked="0"/>
    </xf>
    <xf numFmtId="4" fontId="9" fillId="5" borderId="23" xfId="0" applyNumberFormat="1" applyFont="1" applyFill="1" applyBorder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166" fontId="17" fillId="0" borderId="24" xfId="0" applyNumberFormat="1" applyFont="1" applyBorder="1" applyAlignment="1" applyProtection="1">
      <alignment vertical="center"/>
      <protection locked="0"/>
    </xf>
    <xf numFmtId="4" fontId="17" fillId="0" borderId="24" xfId="0" applyNumberFormat="1" applyFont="1" applyBorder="1" applyAlignment="1" applyProtection="1">
      <alignment vertical="center"/>
      <protection locked="0"/>
    </xf>
    <xf numFmtId="4" fontId="9" fillId="5" borderId="24" xfId="0" applyNumberFormat="1" applyFont="1" applyFill="1" applyBorder="1" applyAlignment="1" applyProtection="1">
      <alignment vertical="center"/>
      <protection locked="0"/>
    </xf>
    <xf numFmtId="4" fontId="16" fillId="6" borderId="24" xfId="0" applyNumberFormat="1" applyFont="1" applyFill="1" applyBorder="1" applyAlignment="1" applyProtection="1">
      <alignment vertical="center"/>
      <protection locked="0"/>
    </xf>
    <xf numFmtId="4" fontId="16" fillId="2" borderId="24" xfId="0" applyNumberFormat="1" applyFont="1" applyFill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166" fontId="18" fillId="0" borderId="16" xfId="0" applyNumberFormat="1" applyFont="1" applyBorder="1" applyAlignment="1" applyProtection="1">
      <alignment vertical="center"/>
      <protection locked="0"/>
    </xf>
    <xf numFmtId="4" fontId="18" fillId="0" borderId="17" xfId="0" applyNumberFormat="1" applyFont="1" applyBorder="1" applyAlignment="1" applyProtection="1">
      <alignment vertical="center"/>
      <protection locked="0"/>
    </xf>
    <xf numFmtId="4" fontId="16" fillId="5" borderId="18" xfId="0" applyNumberFormat="1" applyFont="1" applyFill="1" applyBorder="1" applyAlignment="1" applyProtection="1">
      <alignment vertical="center"/>
      <protection locked="0"/>
    </xf>
    <xf numFmtId="4" fontId="16" fillId="6" borderId="18" xfId="0" applyNumberFormat="1" applyFont="1" applyFill="1" applyBorder="1" applyAlignment="1" applyProtection="1">
      <alignment vertical="center"/>
      <protection locked="0"/>
    </xf>
    <xf numFmtId="4" fontId="18" fillId="2" borderId="18" xfId="0" applyNumberFormat="1" applyFont="1" applyFill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166" fontId="17" fillId="0" borderId="19" xfId="0" applyNumberFormat="1" applyFont="1" applyBorder="1" applyAlignment="1" applyProtection="1">
      <alignment vertical="center"/>
      <protection locked="0"/>
    </xf>
    <xf numFmtId="4" fontId="17" fillId="0" borderId="5" xfId="0" applyNumberFormat="1" applyFont="1" applyBorder="1" applyAlignment="1" applyProtection="1">
      <alignment vertical="center"/>
      <protection locked="0"/>
    </xf>
    <xf numFmtId="0" fontId="19" fillId="6" borderId="11" xfId="0" applyFont="1" applyFill="1" applyBorder="1" applyAlignment="1">
      <alignment vertical="center"/>
    </xf>
    <xf numFmtId="4" fontId="16" fillId="2" borderId="20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66" fontId="18" fillId="0" borderId="19" xfId="0" applyNumberFormat="1" applyFont="1" applyBorder="1" applyAlignment="1" applyProtection="1">
      <alignment vertical="center"/>
      <protection locked="0"/>
    </xf>
    <xf numFmtId="4" fontId="18" fillId="0" borderId="5" xfId="0" applyNumberFormat="1" applyFont="1" applyBorder="1" applyAlignment="1" applyProtection="1">
      <alignment vertical="center"/>
      <protection locked="0"/>
    </xf>
    <xf numFmtId="4" fontId="16" fillId="5" borderId="20" xfId="0" applyNumberFormat="1" applyFont="1" applyFill="1" applyBorder="1" applyAlignment="1" applyProtection="1">
      <alignment vertical="center"/>
      <protection locked="0"/>
    </xf>
    <xf numFmtId="4" fontId="16" fillId="6" borderId="20" xfId="0" applyNumberFormat="1" applyFont="1" applyFill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166" fontId="16" fillId="0" borderId="19" xfId="0" applyNumberFormat="1" applyFont="1" applyBorder="1" applyAlignment="1" applyProtection="1">
      <alignment vertical="center"/>
      <protection locked="0"/>
    </xf>
    <xf numFmtId="4" fontId="16" fillId="0" borderId="5" xfId="0" applyNumberFormat="1" applyFont="1" applyBorder="1" applyAlignment="1" applyProtection="1">
      <alignment vertical="center"/>
      <protection locked="0"/>
    </xf>
    <xf numFmtId="4" fontId="8" fillId="5" borderId="20" xfId="0" applyNumberFormat="1" applyFont="1" applyFill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166" fontId="18" fillId="0" borderId="21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4" fontId="16" fillId="5" borderId="23" xfId="0" applyNumberFormat="1" applyFont="1" applyFill="1" applyBorder="1" applyAlignment="1" applyProtection="1">
      <alignment vertical="center"/>
      <protection locked="0"/>
    </xf>
    <xf numFmtId="4" fontId="16" fillId="6" borderId="23" xfId="0" applyNumberFormat="1" applyFont="1" applyFill="1" applyBorder="1" applyAlignment="1" applyProtection="1">
      <alignment vertical="center"/>
      <protection locked="0"/>
    </xf>
    <xf numFmtId="4" fontId="16" fillId="2" borderId="23" xfId="0" applyNumberFormat="1" applyFont="1" applyFill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166" fontId="16" fillId="0" borderId="16" xfId="0" applyNumberFormat="1" applyFont="1" applyBorder="1" applyAlignment="1" applyProtection="1">
      <alignment vertical="center"/>
      <protection locked="0"/>
    </xf>
    <xf numFmtId="4" fontId="16" fillId="0" borderId="17" xfId="0" applyNumberFormat="1" applyFont="1" applyBorder="1" applyAlignment="1" applyProtection="1">
      <alignment vertical="center"/>
      <protection locked="0"/>
    </xf>
    <xf numFmtId="4" fontId="16" fillId="2" borderId="18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Border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166" fontId="9" fillId="0" borderId="21" xfId="0" applyNumberFormat="1" applyFont="1" applyBorder="1" applyAlignment="1" applyProtection="1">
      <alignment vertical="center"/>
      <protection locked="0"/>
    </xf>
    <xf numFmtId="4" fontId="9" fillId="0" borderId="22" xfId="0" applyNumberFormat="1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166" fontId="9" fillId="0" borderId="25" xfId="0" applyNumberFormat="1" applyFont="1" applyBorder="1" applyAlignment="1" applyProtection="1">
      <alignment vertical="center"/>
      <protection locked="0"/>
    </xf>
    <xf numFmtId="4" fontId="9" fillId="0" borderId="26" xfId="0" applyNumberFormat="1" applyFont="1" applyBorder="1" applyAlignment="1" applyProtection="1">
      <alignment vertical="center"/>
      <protection locked="0"/>
    </xf>
    <xf numFmtId="4" fontId="9" fillId="5" borderId="11" xfId="0" applyNumberFormat="1" applyFont="1" applyFill="1" applyBorder="1" applyAlignment="1" applyProtection="1">
      <alignment vertical="center"/>
      <protection locked="0"/>
    </xf>
    <xf numFmtId="4" fontId="16" fillId="6" borderId="11" xfId="0" applyNumberFormat="1" applyFont="1" applyFill="1" applyBorder="1" applyAlignment="1" applyProtection="1">
      <alignment vertical="center"/>
      <protection locked="0"/>
    </xf>
    <xf numFmtId="4" fontId="16" fillId="2" borderId="11" xfId="0" applyNumberFormat="1" applyFont="1" applyFill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66" fontId="16" fillId="0" borderId="21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/>
    <xf numFmtId="0" fontId="20" fillId="0" borderId="16" xfId="0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left" vertical="center" wrapText="1"/>
      <protection locked="0"/>
    </xf>
    <xf numFmtId="4" fontId="20" fillId="5" borderId="18" xfId="0" applyNumberFormat="1" applyFont="1" applyFill="1" applyBorder="1" applyAlignment="1" applyProtection="1">
      <alignment vertical="center"/>
      <protection locked="0"/>
    </xf>
    <xf numFmtId="4" fontId="18" fillId="6" borderId="20" xfId="0" applyNumberFormat="1" applyFont="1" applyFill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166" fontId="17" fillId="0" borderId="21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4" fontId="17" fillId="5" borderId="20" xfId="0" applyNumberFormat="1" applyFont="1" applyFill="1" applyBorder="1" applyAlignment="1" applyProtection="1">
      <alignment vertical="center"/>
      <protection locked="0"/>
    </xf>
    <xf numFmtId="4" fontId="18" fillId="2" borderId="20" xfId="0" applyNumberFormat="1" applyFont="1" applyFill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4" fontId="18" fillId="6" borderId="23" xfId="0" applyNumberFormat="1" applyFont="1" applyFill="1" applyBorder="1" applyAlignment="1" applyProtection="1">
      <alignment vertical="center"/>
      <protection locked="0"/>
    </xf>
    <xf numFmtId="4" fontId="18" fillId="2" borderId="23" xfId="0" applyNumberFormat="1" applyFont="1" applyFill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166" fontId="17" fillId="0" borderId="16" xfId="0" applyNumberFormat="1" applyFont="1" applyBorder="1" applyAlignment="1" applyProtection="1">
      <alignment vertical="center"/>
      <protection locked="0"/>
    </xf>
    <xf numFmtId="4" fontId="17" fillId="0" borderId="17" xfId="0" applyNumberFormat="1" applyFont="1" applyBorder="1" applyAlignment="1" applyProtection="1">
      <alignment vertical="center"/>
      <protection locked="0"/>
    </xf>
    <xf numFmtId="0" fontId="19" fillId="6" borderId="13" xfId="0" applyFont="1" applyFill="1" applyBorder="1"/>
    <xf numFmtId="0" fontId="18" fillId="0" borderId="0" xfId="0" applyFont="1" applyAlignment="1" applyProtection="1">
      <alignment horizontal="left" vertical="center" wrapText="1"/>
      <protection locked="0"/>
    </xf>
    <xf numFmtId="0" fontId="19" fillId="6" borderId="15" xfId="0" applyFont="1" applyFill="1" applyBorder="1"/>
    <xf numFmtId="4" fontId="17" fillId="2" borderId="5" xfId="0" applyNumberFormat="1" applyFont="1" applyFill="1" applyBorder="1" applyAlignment="1" applyProtection="1">
      <alignment vertical="center"/>
      <protection locked="0"/>
    </xf>
    <xf numFmtId="0" fontId="22" fillId="0" borderId="0" xfId="0" applyFont="1"/>
    <xf numFmtId="0" fontId="19" fillId="6" borderId="24" xfId="0" applyFont="1" applyFill="1" applyBorder="1"/>
    <xf numFmtId="0" fontId="17" fillId="0" borderId="16" xfId="0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left" vertical="center" wrapText="1"/>
      <protection locked="0"/>
    </xf>
    <xf numFmtId="0" fontId="21" fillId="6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166" fontId="16" fillId="0" borderId="25" xfId="0" applyNumberFormat="1" applyFont="1" applyBorder="1" applyAlignment="1" applyProtection="1">
      <alignment vertical="center"/>
      <protection locked="0"/>
    </xf>
    <xf numFmtId="4" fontId="16" fillId="0" borderId="26" xfId="0" applyNumberFormat="1" applyFont="1" applyBorder="1" applyAlignment="1" applyProtection="1">
      <alignment vertical="center"/>
      <protection locked="0"/>
    </xf>
    <xf numFmtId="4" fontId="16" fillId="5" borderId="11" xfId="0" applyNumberFormat="1" applyFont="1" applyFill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166" fontId="16" fillId="0" borderId="28" xfId="0" applyNumberFormat="1" applyFont="1" applyBorder="1" applyAlignment="1" applyProtection="1">
      <alignment vertical="center"/>
      <protection locked="0"/>
    </xf>
    <xf numFmtId="4" fontId="16" fillId="0" borderId="29" xfId="0" applyNumberFormat="1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66" fontId="9" fillId="0" borderId="1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49" fontId="16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0" applyFont="1" applyFill="1" applyBorder="1" applyAlignment="1" applyProtection="1">
      <alignment horizontal="left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6" fontId="16" fillId="2" borderId="19" xfId="0" applyNumberFormat="1" applyFont="1" applyFill="1" applyBorder="1" applyAlignment="1" applyProtection="1">
      <alignment vertical="center"/>
      <protection locked="0"/>
    </xf>
    <xf numFmtId="4" fontId="16" fillId="2" borderId="5" xfId="0" applyNumberFormat="1" applyFont="1" applyFill="1" applyBorder="1" applyAlignment="1" applyProtection="1">
      <alignment vertical="center"/>
      <protection locked="0"/>
    </xf>
    <xf numFmtId="0" fontId="24" fillId="0" borderId="0" xfId="0" applyFont="1"/>
    <xf numFmtId="0" fontId="12" fillId="4" borderId="0" xfId="0" applyFont="1" applyFill="1"/>
    <xf numFmtId="0" fontId="12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4" fontId="14" fillId="4" borderId="11" xfId="0" applyNumberFormat="1" applyFont="1" applyFill="1" applyBorder="1"/>
    <xf numFmtId="0" fontId="13" fillId="4" borderId="12" xfId="0" applyFont="1" applyFill="1" applyBorder="1" applyAlignment="1">
      <alignment horizontal="left"/>
    </xf>
    <xf numFmtId="4" fontId="13" fillId="4" borderId="9" xfId="0" applyNumberFormat="1" applyFont="1" applyFill="1" applyBorder="1"/>
    <xf numFmtId="4" fontId="13" fillId="4" borderId="12" xfId="0" applyNumberFormat="1" applyFont="1" applyFill="1" applyBorder="1"/>
    <xf numFmtId="0" fontId="9" fillId="0" borderId="30" xfId="0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166" fontId="9" fillId="0" borderId="30" xfId="0" applyNumberFormat="1" applyFont="1" applyBorder="1" applyAlignment="1" applyProtection="1">
      <alignment vertical="center"/>
      <protection locked="0"/>
    </xf>
    <xf numFmtId="4" fontId="9" fillId="0" borderId="30" xfId="0" applyNumberFormat="1" applyFont="1" applyBorder="1" applyAlignment="1" applyProtection="1">
      <alignment vertical="center"/>
      <protection locked="0"/>
    </xf>
    <xf numFmtId="4" fontId="16" fillId="5" borderId="30" xfId="0" applyNumberFormat="1" applyFont="1" applyFill="1" applyBorder="1" applyAlignment="1" applyProtection="1">
      <alignment vertical="center"/>
      <protection locked="0"/>
    </xf>
    <xf numFmtId="0" fontId="0" fillId="6" borderId="30" xfId="0" applyFill="1" applyBorder="1"/>
    <xf numFmtId="4" fontId="16" fillId="2" borderId="30" xfId="0" applyNumberFormat="1" applyFont="1" applyFill="1" applyBorder="1" applyAlignment="1" applyProtection="1">
      <alignment vertical="center"/>
      <protection locked="0"/>
    </xf>
    <xf numFmtId="0" fontId="12" fillId="4" borderId="31" xfId="0" applyFont="1" applyFill="1" applyBorder="1"/>
    <xf numFmtId="0" fontId="12" fillId="4" borderId="32" xfId="0" applyFont="1" applyFill="1" applyBorder="1" applyAlignment="1">
      <alignment horizontal="left"/>
    </xf>
    <xf numFmtId="0" fontId="13" fillId="4" borderId="32" xfId="0" applyFont="1" applyFill="1" applyBorder="1" applyAlignment="1">
      <alignment horizontal="left"/>
    </xf>
    <xf numFmtId="0" fontId="12" fillId="4" borderId="32" xfId="0" applyFont="1" applyFill="1" applyBorder="1"/>
    <xf numFmtId="0" fontId="12" fillId="4" borderId="33" xfId="0" applyFont="1" applyFill="1" applyBorder="1"/>
    <xf numFmtId="4" fontId="16" fillId="0" borderId="0" xfId="0" applyNumberFormat="1" applyFont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166" fontId="25" fillId="0" borderId="15" xfId="0" applyNumberFormat="1" applyFont="1" applyBorder="1" applyAlignment="1" applyProtection="1">
      <alignment vertical="center"/>
      <protection locked="0"/>
    </xf>
    <xf numFmtId="4" fontId="25" fillId="0" borderId="15" xfId="0" applyNumberFormat="1" applyFont="1" applyBorder="1" applyAlignment="1" applyProtection="1">
      <alignment vertical="center"/>
      <protection locked="0"/>
    </xf>
    <xf numFmtId="4" fontId="25" fillId="5" borderId="15" xfId="0" applyNumberFormat="1" applyFont="1" applyFill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166" fontId="16" fillId="0" borderId="15" xfId="0" applyNumberFormat="1" applyFont="1" applyBorder="1" applyAlignment="1" applyProtection="1">
      <alignment vertical="center"/>
      <protection locked="0"/>
    </xf>
    <xf numFmtId="4" fontId="16" fillId="0" borderId="15" xfId="0" applyNumberFormat="1" applyFont="1" applyBorder="1" applyAlignment="1" applyProtection="1">
      <alignment vertical="center"/>
      <protection locked="0"/>
    </xf>
    <xf numFmtId="4" fontId="16" fillId="5" borderId="15" xfId="0" applyNumberFormat="1" applyFont="1" applyFill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49" fontId="25" fillId="0" borderId="24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166" fontId="25" fillId="0" borderId="24" xfId="0" applyNumberFormat="1" applyFont="1" applyBorder="1" applyAlignment="1" applyProtection="1">
      <alignment vertical="center"/>
      <protection locked="0"/>
    </xf>
    <xf numFmtId="4" fontId="25" fillId="0" borderId="24" xfId="0" applyNumberFormat="1" applyFont="1" applyBorder="1" applyAlignment="1" applyProtection="1">
      <alignment vertical="center"/>
      <protection locked="0"/>
    </xf>
    <xf numFmtId="4" fontId="25" fillId="5" borderId="24" xfId="0" applyNumberFormat="1" applyFont="1" applyFill="1" applyBorder="1" applyAlignment="1" applyProtection="1">
      <alignment vertical="center"/>
      <protection locked="0"/>
    </xf>
    <xf numFmtId="0" fontId="0" fillId="6" borderId="13" xfId="0" applyFill="1" applyBorder="1"/>
    <xf numFmtId="0" fontId="0" fillId="6" borderId="15" xfId="0" applyFill="1" applyBorder="1"/>
    <xf numFmtId="0" fontId="26" fillId="0" borderId="15" xfId="0" applyFont="1" applyBorder="1" applyAlignment="1" applyProtection="1">
      <alignment horizontal="center" vertical="center"/>
      <protection locked="0"/>
    </xf>
    <xf numFmtId="49" fontId="26" fillId="0" borderId="15" xfId="0" applyNumberFormat="1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166" fontId="26" fillId="0" borderId="15" xfId="0" applyNumberFormat="1" applyFont="1" applyBorder="1" applyAlignment="1" applyProtection="1">
      <alignment vertical="center"/>
      <protection locked="0"/>
    </xf>
    <xf numFmtId="4" fontId="26" fillId="0" borderId="15" xfId="0" applyNumberFormat="1" applyFont="1" applyBorder="1" applyAlignment="1" applyProtection="1">
      <alignment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166" fontId="16" fillId="0" borderId="24" xfId="0" applyNumberFormat="1" applyFont="1" applyBorder="1" applyAlignment="1" applyProtection="1">
      <alignment vertical="center"/>
      <protection locked="0"/>
    </xf>
    <xf numFmtId="4" fontId="16" fillId="0" borderId="24" xfId="0" applyNumberFormat="1" applyFont="1" applyBorder="1" applyAlignment="1" applyProtection="1">
      <alignment vertical="center"/>
      <protection locked="0"/>
    </xf>
    <xf numFmtId="4" fontId="16" fillId="5" borderId="24" xfId="0" applyNumberFormat="1" applyFont="1" applyFill="1" applyBorder="1" applyAlignment="1" applyProtection="1">
      <alignment vertical="center"/>
      <protection locked="0"/>
    </xf>
    <xf numFmtId="4" fontId="26" fillId="5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wrapText="1"/>
    </xf>
    <xf numFmtId="0" fontId="9" fillId="0" borderId="24" xfId="0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166" fontId="26" fillId="0" borderId="24" xfId="0" applyNumberFormat="1" applyFont="1" applyBorder="1" applyAlignment="1" applyProtection="1">
      <alignment vertical="center"/>
      <protection locked="0"/>
    </xf>
    <xf numFmtId="4" fontId="26" fillId="0" borderId="24" xfId="0" applyNumberFormat="1" applyFont="1" applyBorder="1" applyAlignment="1" applyProtection="1">
      <alignment vertical="center"/>
      <protection locked="0"/>
    </xf>
    <xf numFmtId="0" fontId="0" fillId="6" borderId="24" xfId="0" applyFill="1" applyBorder="1"/>
    <xf numFmtId="0" fontId="12" fillId="4" borderId="24" xfId="0" applyFont="1" applyFill="1" applyBorder="1"/>
    <xf numFmtId="0" fontId="12" fillId="4" borderId="24" xfId="0" applyFont="1" applyFill="1" applyBorder="1" applyAlignment="1">
      <alignment horizontal="left"/>
    </xf>
    <xf numFmtId="0" fontId="14" fillId="4" borderId="24" xfId="0" applyFont="1" applyFill="1" applyBorder="1" applyAlignment="1">
      <alignment horizontal="left"/>
    </xf>
    <xf numFmtId="4" fontId="14" fillId="4" borderId="24" xfId="0" applyNumberFormat="1" applyFont="1" applyFill="1" applyBorder="1"/>
    <xf numFmtId="0" fontId="14" fillId="4" borderId="32" xfId="0" applyFont="1" applyFill="1" applyBorder="1" applyAlignment="1">
      <alignment horizontal="left"/>
    </xf>
    <xf numFmtId="0" fontId="8" fillId="0" borderId="0" xfId="0" applyFont="1" applyAlignment="1" applyProtection="1">
      <alignment horizontal="left" vertical="center" wrapText="1"/>
      <protection locked="0"/>
    </xf>
    <xf numFmtId="0" fontId="16" fillId="8" borderId="13" xfId="0" applyFont="1" applyFill="1" applyBorder="1" applyAlignment="1" applyProtection="1">
      <alignment horizontal="center" vertical="center"/>
      <protection locked="0"/>
    </xf>
    <xf numFmtId="4" fontId="25" fillId="6" borderId="13" xfId="0" applyNumberFormat="1" applyFont="1" applyFill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horizontal="right" vertical="center" wrapText="1"/>
      <protection locked="0"/>
    </xf>
    <xf numFmtId="0" fontId="25" fillId="8" borderId="15" xfId="0" applyFont="1" applyFill="1" applyBorder="1" applyAlignment="1" applyProtection="1">
      <alignment horizontal="center" vertical="center"/>
      <protection locked="0"/>
    </xf>
    <xf numFmtId="4" fontId="25" fillId="6" borderId="15" xfId="0" applyNumberFormat="1" applyFont="1" applyFill="1" applyBorder="1" applyAlignment="1" applyProtection="1">
      <alignment vertical="center"/>
      <protection locked="0"/>
    </xf>
    <xf numFmtId="0" fontId="16" fillId="8" borderId="15" xfId="0" applyFont="1" applyFill="1" applyBorder="1" applyAlignment="1" applyProtection="1">
      <alignment horizontal="center" vertical="center"/>
      <protection locked="0"/>
    </xf>
    <xf numFmtId="0" fontId="16" fillId="6" borderId="15" xfId="0" applyFont="1" applyFill="1" applyBorder="1" applyAlignment="1" applyProtection="1">
      <alignment horizontal="right" vertical="center" wrapText="1"/>
      <protection locked="0"/>
    </xf>
    <xf numFmtId="0" fontId="16" fillId="8" borderId="24" xfId="0" applyFont="1" applyFill="1" applyBorder="1" applyAlignment="1" applyProtection="1">
      <alignment horizontal="center" vertical="center"/>
      <protection locked="0"/>
    </xf>
    <xf numFmtId="0" fontId="16" fillId="6" borderId="24" xfId="0" applyFont="1" applyFill="1" applyBorder="1" applyAlignment="1" applyProtection="1">
      <alignment horizontal="right" vertical="center" wrapText="1"/>
      <protection locked="0"/>
    </xf>
    <xf numFmtId="4" fontId="16" fillId="2" borderId="0" xfId="0" applyNumberFormat="1" applyFont="1" applyFill="1" applyAlignment="1" applyProtection="1">
      <alignment vertical="center"/>
      <protection locked="0"/>
    </xf>
    <xf numFmtId="0" fontId="12" fillId="4" borderId="34" xfId="0" applyFont="1" applyFill="1" applyBorder="1"/>
    <xf numFmtId="4" fontId="14" fillId="4" borderId="35" xfId="0" applyNumberFormat="1" applyFont="1" applyFill="1" applyBorder="1"/>
    <xf numFmtId="0" fontId="16" fillId="6" borderId="13" xfId="0" applyFont="1" applyFill="1" applyBorder="1" applyAlignment="1" applyProtection="1">
      <alignment horizontal="right" vertical="center" wrapText="1"/>
      <protection locked="0"/>
    </xf>
    <xf numFmtId="0" fontId="27" fillId="0" borderId="1" xfId="0" applyFont="1" applyBorder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horizontal="left" vertical="center" wrapText="1"/>
      <protection locked="0"/>
    </xf>
    <xf numFmtId="4" fontId="17" fillId="5" borderId="13" xfId="0" applyNumberFormat="1" applyFont="1" applyFill="1" applyBorder="1" applyAlignment="1" applyProtection="1">
      <alignment vertical="center"/>
      <protection locked="0"/>
    </xf>
    <xf numFmtId="0" fontId="22" fillId="6" borderId="13" xfId="0" applyFont="1" applyFill="1" applyBorder="1"/>
    <xf numFmtId="4" fontId="17" fillId="2" borderId="13" xfId="0" applyNumberFormat="1" applyFont="1" applyFill="1" applyBorder="1" applyAlignment="1" applyProtection="1">
      <alignment vertical="center"/>
      <protection locked="0"/>
    </xf>
    <xf numFmtId="4" fontId="17" fillId="5" borderId="15" xfId="0" applyNumberFormat="1" applyFont="1" applyFill="1" applyBorder="1" applyAlignment="1" applyProtection="1">
      <alignment vertical="center"/>
      <protection locked="0"/>
    </xf>
    <xf numFmtId="0" fontId="22" fillId="6" borderId="15" xfId="0" applyFont="1" applyFill="1" applyBorder="1"/>
    <xf numFmtId="4" fontId="17" fillId="2" borderId="15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166" fontId="9" fillId="0" borderId="24" xfId="0" applyNumberFormat="1" applyFont="1" applyBorder="1" applyAlignment="1" applyProtection="1">
      <alignment vertical="center"/>
      <protection locked="0"/>
    </xf>
    <xf numFmtId="4" fontId="9" fillId="0" borderId="24" xfId="0" applyNumberFormat="1" applyFont="1" applyBorder="1" applyAlignment="1" applyProtection="1">
      <alignment vertical="center"/>
      <protection locked="0"/>
    </xf>
    <xf numFmtId="4" fontId="17" fillId="5" borderId="24" xfId="0" applyNumberFormat="1" applyFont="1" applyFill="1" applyBorder="1" applyAlignment="1" applyProtection="1">
      <alignment vertical="center"/>
      <protection locked="0"/>
    </xf>
    <xf numFmtId="0" fontId="22" fillId="6" borderId="24" xfId="0" applyFont="1" applyFill="1" applyBorder="1"/>
    <xf numFmtId="4" fontId="17" fillId="2" borderId="24" xfId="0" applyNumberFormat="1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49" fontId="26" fillId="0" borderId="24" xfId="0" applyNumberFormat="1" applyFont="1" applyBorder="1" applyAlignment="1" applyProtection="1">
      <alignment horizontal="left" vertical="center" wrapText="1"/>
      <protection locked="0"/>
    </xf>
    <xf numFmtId="4" fontId="17" fillId="5" borderId="30" xfId="0" applyNumberFormat="1" applyFont="1" applyFill="1" applyBorder="1" applyAlignment="1" applyProtection="1">
      <alignment vertical="center"/>
      <protection locked="0"/>
    </xf>
    <xf numFmtId="0" fontId="28" fillId="0" borderId="0" xfId="0" applyFont="1"/>
    <xf numFmtId="0" fontId="12" fillId="0" borderId="31" xfId="0" applyFont="1" applyBorder="1"/>
    <xf numFmtId="0" fontId="12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2" fillId="0" borderId="32" xfId="0" applyFont="1" applyBorder="1"/>
    <xf numFmtId="0" fontId="12" fillId="0" borderId="33" xfId="0" applyFont="1" applyBorder="1"/>
    <xf numFmtId="4" fontId="0" fillId="0" borderId="0" xfId="0" applyNumberFormat="1"/>
    <xf numFmtId="0" fontId="18" fillId="9" borderId="19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alignment horizontal="center" vertical="center"/>
      <protection locked="0"/>
    </xf>
    <xf numFmtId="0" fontId="16" fillId="9" borderId="19" xfId="0" applyFont="1" applyFill="1" applyBorder="1" applyAlignment="1" applyProtection="1">
      <alignment horizontal="center" vertical="center"/>
      <protection locked="0"/>
    </xf>
    <xf numFmtId="0" fontId="18" fillId="9" borderId="0" xfId="0" applyFont="1" applyFill="1" applyAlignment="1" applyProtection="1">
      <alignment horizontal="center" vertical="center"/>
      <protection locked="0"/>
    </xf>
    <xf numFmtId="0" fontId="9" fillId="9" borderId="16" xfId="0" applyFont="1" applyFill="1" applyBorder="1" applyAlignment="1" applyProtection="1">
      <alignment horizontal="center" vertical="center"/>
      <protection locked="0"/>
    </xf>
    <xf numFmtId="0" fontId="9" fillId="9" borderId="19" xfId="0" applyFont="1" applyFill="1" applyBorder="1" applyAlignment="1" applyProtection="1">
      <alignment horizontal="center" vertical="center"/>
      <protection locked="0"/>
    </xf>
    <xf numFmtId="0" fontId="0" fillId="9" borderId="0" xfId="0" applyFill="1"/>
    <xf numFmtId="166" fontId="17" fillId="9" borderId="19" xfId="0" applyNumberFormat="1" applyFont="1" applyFill="1" applyBorder="1" applyAlignment="1" applyProtection="1">
      <alignment vertical="center"/>
      <protection locked="0"/>
    </xf>
    <xf numFmtId="0" fontId="31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10" borderId="39" xfId="1" applyFont="1" applyFill="1" applyBorder="1" applyAlignment="1">
      <alignment horizontal="right" vertical="center"/>
    </xf>
    <xf numFmtId="0" fontId="32" fillId="10" borderId="39" xfId="1" applyFont="1" applyFill="1" applyBorder="1" applyAlignment="1">
      <alignment horizontal="center" vertical="center"/>
    </xf>
    <xf numFmtId="49" fontId="36" fillId="0" borderId="37" xfId="1" applyNumberFormat="1" applyFont="1" applyBorder="1" applyAlignment="1">
      <alignment horizontal="center" vertical="center"/>
    </xf>
    <xf numFmtId="0" fontId="32" fillId="10" borderId="40" xfId="1" applyFont="1" applyFill="1" applyBorder="1" applyAlignment="1">
      <alignment horizontal="center" vertical="center"/>
    </xf>
    <xf numFmtId="0" fontId="34" fillId="11" borderId="41" xfId="1" applyFont="1" applyFill="1" applyBorder="1"/>
    <xf numFmtId="0" fontId="32" fillId="11" borderId="0" xfId="1" applyFont="1" applyFill="1"/>
    <xf numFmtId="0" fontId="32" fillId="0" borderId="42" xfId="1" applyFont="1" applyBorder="1"/>
    <xf numFmtId="0" fontId="32" fillId="11" borderId="36" xfId="1" applyFont="1" applyFill="1" applyBorder="1"/>
    <xf numFmtId="0" fontId="32" fillId="0" borderId="43" xfId="1" applyFont="1" applyBorder="1"/>
    <xf numFmtId="167" fontId="34" fillId="0" borderId="44" xfId="1" applyNumberFormat="1" applyFont="1" applyBorder="1" applyAlignment="1">
      <alignment horizontal="center"/>
    </xf>
    <xf numFmtId="0" fontId="32" fillId="0" borderId="41" xfId="1" applyFont="1" applyBorder="1"/>
    <xf numFmtId="0" fontId="32" fillId="0" borderId="36" xfId="1" applyFont="1" applyBorder="1"/>
    <xf numFmtId="0" fontId="32" fillId="0" borderId="0" xfId="1" applyFont="1" applyAlignment="1">
      <alignment horizontal="left"/>
    </xf>
    <xf numFmtId="0" fontId="32" fillId="0" borderId="46" xfId="1" applyFont="1" applyBorder="1"/>
    <xf numFmtId="0" fontId="32" fillId="0" borderId="47" xfId="1" applyFont="1" applyBorder="1"/>
    <xf numFmtId="0" fontId="32" fillId="0" borderId="48" xfId="1" applyFont="1" applyBorder="1"/>
    <xf numFmtId="0" fontId="34" fillId="0" borderId="41" xfId="1" applyFont="1" applyBorder="1"/>
    <xf numFmtId="3" fontId="34" fillId="0" borderId="0" xfId="1" applyNumberFormat="1" applyFont="1" applyAlignment="1">
      <alignment horizontal="right"/>
    </xf>
    <xf numFmtId="3" fontId="34" fillId="0" borderId="0" xfId="1" applyNumberFormat="1" applyFont="1" applyAlignment="1">
      <alignment horizontal="left"/>
    </xf>
    <xf numFmtId="0" fontId="34" fillId="0" borderId="0" xfId="1" applyFont="1" applyAlignment="1">
      <alignment horizontal="left"/>
    </xf>
    <xf numFmtId="0" fontId="34" fillId="0" borderId="36" xfId="1" applyFont="1" applyBorder="1" applyAlignment="1">
      <alignment horizontal="left"/>
    </xf>
    <xf numFmtId="0" fontId="34" fillId="0" borderId="50" xfId="1" applyFont="1" applyBorder="1"/>
    <xf numFmtId="0" fontId="32" fillId="0" borderId="50" xfId="1" applyFont="1" applyBorder="1"/>
    <xf numFmtId="0" fontId="32" fillId="0" borderId="50" xfId="1" applyFont="1" applyBorder="1" applyAlignment="1">
      <alignment horizontal="left"/>
    </xf>
    <xf numFmtId="3" fontId="34" fillId="0" borderId="50" xfId="1" applyNumberFormat="1" applyFont="1" applyBorder="1" applyAlignment="1">
      <alignment horizontal="right"/>
    </xf>
    <xf numFmtId="3" fontId="34" fillId="0" borderId="50" xfId="1" applyNumberFormat="1" applyFont="1" applyBorder="1" applyAlignment="1">
      <alignment horizontal="left"/>
    </xf>
    <xf numFmtId="0" fontId="34" fillId="0" borderId="50" xfId="1" applyFont="1" applyBorder="1" applyAlignment="1">
      <alignment horizontal="left"/>
    </xf>
    <xf numFmtId="0" fontId="32" fillId="0" borderId="41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32" fillId="0" borderId="0" xfId="1" applyFont="1" applyAlignment="1">
      <alignment horizontal="right" vertical="center"/>
    </xf>
    <xf numFmtId="167" fontId="32" fillId="0" borderId="36" xfId="1" applyNumberFormat="1" applyFont="1" applyBorder="1" applyAlignment="1">
      <alignment horizontal="center" vertical="center"/>
    </xf>
    <xf numFmtId="0" fontId="32" fillId="0" borderId="0" xfId="1" applyFont="1" applyAlignment="1">
      <alignment horizontal="center" vertical="top"/>
    </xf>
    <xf numFmtId="0" fontId="32" fillId="0" borderId="51" xfId="1" applyFont="1" applyBorder="1" applyAlignment="1">
      <alignment horizontal="center" vertical="top"/>
    </xf>
    <xf numFmtId="167" fontId="38" fillId="0" borderId="36" xfId="1" applyNumberFormat="1" applyFont="1" applyBorder="1" applyAlignment="1">
      <alignment horizontal="left" vertical="center"/>
    </xf>
    <xf numFmtId="167" fontId="32" fillId="0" borderId="36" xfId="1" applyNumberFormat="1" applyFont="1" applyBorder="1" applyAlignment="1">
      <alignment horizontal="center"/>
    </xf>
    <xf numFmtId="0" fontId="34" fillId="10" borderId="52" xfId="1" applyFont="1" applyFill="1" applyBorder="1"/>
    <xf numFmtId="0" fontId="32" fillId="10" borderId="53" xfId="1" applyFont="1" applyFill="1" applyBorder="1"/>
    <xf numFmtId="0" fontId="32" fillId="10" borderId="53" xfId="1" applyFont="1" applyFill="1" applyBorder="1" applyAlignment="1">
      <alignment horizontal="left"/>
    </xf>
    <xf numFmtId="49" fontId="34" fillId="0" borderId="37" xfId="1" applyNumberFormat="1" applyFont="1" applyBorder="1" applyAlignment="1">
      <alignment horizontal="center"/>
    </xf>
    <xf numFmtId="0" fontId="32" fillId="10" borderId="54" xfId="1" applyFont="1" applyFill="1" applyBorder="1"/>
    <xf numFmtId="3" fontId="29" fillId="0" borderId="0" xfId="0" applyNumberFormat="1" applyFont="1"/>
    <xf numFmtId="0" fontId="32" fillId="0" borderId="0" xfId="1" applyFont="1" applyAlignment="1">
      <alignment horizontal="right"/>
    </xf>
    <xf numFmtId="167" fontId="34" fillId="0" borderId="0" xfId="1" applyNumberFormat="1" applyFont="1" applyAlignment="1">
      <alignment horizontal="center" wrapText="1"/>
    </xf>
    <xf numFmtId="167" fontId="34" fillId="0" borderId="36" xfId="2" applyNumberFormat="1" applyFont="1" applyBorder="1" applyAlignment="1">
      <alignment horizontal="center"/>
    </xf>
    <xf numFmtId="0" fontId="34" fillId="0" borderId="36" xfId="1" applyFont="1" applyBorder="1"/>
    <xf numFmtId="0" fontId="32" fillId="0" borderId="47" xfId="1" applyFont="1" applyBorder="1" applyAlignment="1">
      <alignment horizontal="left"/>
    </xf>
    <xf numFmtId="167" fontId="32" fillId="0" borderId="36" xfId="1" applyNumberFormat="1" applyFont="1" applyBorder="1"/>
    <xf numFmtId="0" fontId="32" fillId="0" borderId="0" xfId="1" applyFont="1" applyAlignment="1">
      <alignment horizontal="center"/>
    </xf>
    <xf numFmtId="0" fontId="34" fillId="0" borderId="43" xfId="1" applyFont="1" applyBorder="1"/>
    <xf numFmtId="0" fontId="32" fillId="0" borderId="44" xfId="1" applyFont="1" applyBorder="1"/>
    <xf numFmtId="0" fontId="29" fillId="0" borderId="0" xfId="0" applyFont="1" applyBorder="1"/>
    <xf numFmtId="0" fontId="29" fillId="0" borderId="0" xfId="0" applyFont="1"/>
    <xf numFmtId="0" fontId="0" fillId="0" borderId="0" xfId="0" applyBorder="1"/>
    <xf numFmtId="0" fontId="32" fillId="0" borderId="0" xfId="1" applyFont="1" applyBorder="1"/>
    <xf numFmtId="0" fontId="32" fillId="0" borderId="56" xfId="1" applyFont="1" applyBorder="1" applyAlignment="1">
      <alignment horizontal="center"/>
    </xf>
    <xf numFmtId="0" fontId="34" fillId="0" borderId="56" xfId="1" applyFont="1" applyBorder="1"/>
    <xf numFmtId="167" fontId="32" fillId="0" borderId="58" xfId="1" applyNumberFormat="1" applyFont="1" applyBorder="1" applyAlignment="1">
      <alignment horizontal="center"/>
    </xf>
    <xf numFmtId="0" fontId="32" fillId="0" borderId="59" xfId="1" applyFont="1" applyBorder="1"/>
    <xf numFmtId="0" fontId="0" fillId="0" borderId="60" xfId="0" applyBorder="1"/>
    <xf numFmtId="0" fontId="29" fillId="0" borderId="60" xfId="0" applyFont="1" applyBorder="1"/>
    <xf numFmtId="0" fontId="32" fillId="0" borderId="0" xfId="1" applyFont="1" applyBorder="1" applyAlignment="1">
      <alignment horizontal="left"/>
    </xf>
    <xf numFmtId="0" fontId="32" fillId="0" borderId="60" xfId="1" applyFont="1" applyBorder="1"/>
    <xf numFmtId="0" fontId="32" fillId="0" borderId="60" xfId="1" applyFont="1" applyBorder="1" applyAlignment="1">
      <alignment horizontal="left"/>
    </xf>
    <xf numFmtId="0" fontId="32" fillId="0" borderId="61" xfId="1" applyFont="1" applyBorder="1"/>
    <xf numFmtId="0" fontId="32" fillId="0" borderId="62" xfId="1" applyFont="1" applyBorder="1"/>
    <xf numFmtId="0" fontId="32" fillId="0" borderId="63" xfId="1" applyFont="1" applyBorder="1"/>
    <xf numFmtId="0" fontId="34" fillId="0" borderId="59" xfId="1" applyFont="1" applyBorder="1" applyAlignment="1">
      <alignment horizontal="left"/>
    </xf>
    <xf numFmtId="0" fontId="34" fillId="0" borderId="59" xfId="1" applyFont="1" applyBorder="1"/>
    <xf numFmtId="0" fontId="34" fillId="0" borderId="42" xfId="1" applyFont="1" applyBorder="1"/>
    <xf numFmtId="0" fontId="32" fillId="0" borderId="51" xfId="1" applyFont="1" applyBorder="1" applyAlignment="1">
      <alignment horizontal="center" vertical="top"/>
    </xf>
    <xf numFmtId="0" fontId="34" fillId="0" borderId="36" xfId="1" applyFont="1" applyBorder="1" applyAlignment="1">
      <alignment horizontal="left"/>
    </xf>
    <xf numFmtId="0" fontId="29" fillId="0" borderId="3" xfId="0" applyFont="1" applyBorder="1"/>
    <xf numFmtId="0" fontId="0" fillId="0" borderId="12" xfId="0" applyBorder="1"/>
    <xf numFmtId="165" fontId="29" fillId="0" borderId="4" xfId="0" applyNumberFormat="1" applyFont="1" applyBorder="1"/>
    <xf numFmtId="4" fontId="13" fillId="6" borderId="9" xfId="0" applyNumberFormat="1" applyFont="1" applyFill="1" applyBorder="1"/>
    <xf numFmtId="4" fontId="13" fillId="0" borderId="9" xfId="0" applyNumberFormat="1" applyFont="1" applyBorder="1"/>
    <xf numFmtId="0" fontId="34" fillId="0" borderId="0" xfId="1" applyFont="1" applyBorder="1"/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49" fontId="16" fillId="0" borderId="65" xfId="0" applyNumberFormat="1" applyFont="1" applyBorder="1" applyAlignment="1" applyProtection="1">
      <alignment horizontal="left" vertical="center" wrapText="1"/>
      <protection locked="0"/>
    </xf>
    <xf numFmtId="0" fontId="16" fillId="0" borderId="65" xfId="0" applyFont="1" applyBorder="1" applyAlignment="1" applyProtection="1">
      <alignment horizontal="left" vertical="center" wrapText="1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166" fontId="16" fillId="0" borderId="65" xfId="0" applyNumberFormat="1" applyFont="1" applyBorder="1" applyAlignment="1" applyProtection="1">
      <alignment vertical="center"/>
      <protection locked="0"/>
    </xf>
    <xf numFmtId="4" fontId="16" fillId="0" borderId="66" xfId="0" applyNumberFormat="1" applyFont="1" applyBorder="1" applyAlignment="1" applyProtection="1">
      <alignment vertical="center"/>
      <protection locked="0"/>
    </xf>
    <xf numFmtId="4" fontId="16" fillId="5" borderId="67" xfId="0" applyNumberFormat="1" applyFont="1" applyFill="1" applyBorder="1" applyAlignment="1" applyProtection="1">
      <alignment vertical="center"/>
      <protection locked="0"/>
    </xf>
    <xf numFmtId="4" fontId="16" fillId="6" borderId="67" xfId="0" applyNumberFormat="1" applyFont="1" applyFill="1" applyBorder="1" applyAlignment="1" applyProtection="1">
      <alignment vertical="center"/>
      <protection locked="0"/>
    </xf>
    <xf numFmtId="4" fontId="16" fillId="2" borderId="67" xfId="0" applyNumberFormat="1" applyFont="1" applyFill="1" applyBorder="1" applyAlignment="1" applyProtection="1">
      <alignment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49" fontId="16" fillId="0" borderId="70" xfId="0" applyNumberFormat="1" applyFont="1" applyBorder="1" applyAlignment="1" applyProtection="1">
      <alignment horizontal="left" vertical="center" wrapText="1"/>
      <protection locked="0"/>
    </xf>
    <xf numFmtId="0" fontId="16" fillId="0" borderId="70" xfId="0" applyFont="1" applyBorder="1" applyAlignment="1" applyProtection="1">
      <alignment horizontal="left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  <protection locked="0"/>
    </xf>
    <xf numFmtId="166" fontId="16" fillId="0" borderId="70" xfId="0" applyNumberFormat="1" applyFont="1" applyBorder="1" applyAlignment="1" applyProtection="1">
      <alignment vertical="center"/>
      <protection locked="0"/>
    </xf>
    <xf numFmtId="4" fontId="16" fillId="0" borderId="71" xfId="0" applyNumberFormat="1" applyFont="1" applyBorder="1" applyAlignment="1" applyProtection="1">
      <alignment vertical="center"/>
      <protection locked="0"/>
    </xf>
    <xf numFmtId="4" fontId="16" fillId="5" borderId="35" xfId="0" applyNumberFormat="1" applyFont="1" applyFill="1" applyBorder="1" applyAlignment="1" applyProtection="1">
      <alignment vertical="center"/>
      <protection locked="0"/>
    </xf>
    <xf numFmtId="4" fontId="16" fillId="6" borderId="35" xfId="0" applyNumberFormat="1" applyFont="1" applyFill="1" applyBorder="1" applyAlignment="1" applyProtection="1">
      <alignment vertical="center"/>
      <protection locked="0"/>
    </xf>
    <xf numFmtId="4" fontId="16" fillId="2" borderId="35" xfId="0" applyNumberFormat="1" applyFont="1" applyFill="1" applyBorder="1" applyAlignment="1" applyProtection="1">
      <alignment vertical="center"/>
      <protection locked="0"/>
    </xf>
    <xf numFmtId="0" fontId="43" fillId="0" borderId="0" xfId="0" applyFont="1"/>
    <xf numFmtId="0" fontId="43" fillId="12" borderId="0" xfId="0" applyFont="1" applyFill="1"/>
    <xf numFmtId="0" fontId="12" fillId="12" borderId="1" xfId="0" applyFont="1" applyFill="1" applyBorder="1"/>
    <xf numFmtId="0" fontId="9" fillId="0" borderId="72" xfId="0" applyFont="1" applyBorder="1" applyAlignment="1" applyProtection="1">
      <alignment horizontal="center" vertical="center"/>
      <protection locked="0"/>
    </xf>
    <xf numFmtId="4" fontId="9" fillId="0" borderId="73" xfId="0" applyNumberFormat="1" applyFont="1" applyBorder="1" applyAlignment="1" applyProtection="1">
      <alignment vertical="center"/>
      <protection locked="0"/>
    </xf>
    <xf numFmtId="4" fontId="16" fillId="5" borderId="0" xfId="0" applyNumberFormat="1" applyFont="1" applyFill="1" applyBorder="1" applyAlignment="1" applyProtection="1">
      <alignment vertical="center"/>
      <protection locked="0"/>
    </xf>
    <xf numFmtId="0" fontId="0" fillId="6" borderId="0" xfId="0" applyFill="1" applyBorder="1"/>
    <xf numFmtId="4" fontId="16" fillId="2" borderId="0" xfId="0" applyNumberFormat="1" applyFont="1" applyFill="1" applyBorder="1" applyAlignment="1" applyProtection="1">
      <alignment vertical="center"/>
      <protection locked="0"/>
    </xf>
    <xf numFmtId="0" fontId="34" fillId="10" borderId="36" xfId="1" applyFont="1" applyFill="1" applyBorder="1" applyAlignment="1">
      <alignment horizontal="center" vertical="center"/>
    </xf>
    <xf numFmtId="0" fontId="35" fillId="0" borderId="37" xfId="1" applyFont="1" applyBorder="1" applyAlignment="1">
      <alignment horizontal="center" vertical="center"/>
    </xf>
    <xf numFmtId="0" fontId="34" fillId="10" borderId="38" xfId="1" applyFont="1" applyFill="1" applyBorder="1" applyAlignment="1">
      <alignment horizontal="left" vertical="center"/>
    </xf>
    <xf numFmtId="0" fontId="0" fillId="0" borderId="55" xfId="0" applyBorder="1"/>
    <xf numFmtId="0" fontId="0" fillId="0" borderId="57" xfId="0" applyBorder="1"/>
    <xf numFmtId="0" fontId="34" fillId="0" borderId="36" xfId="1" applyFont="1" applyBorder="1" applyAlignment="1">
      <alignment horizontal="left" wrapText="1"/>
    </xf>
    <xf numFmtId="0" fontId="34" fillId="0" borderId="60" xfId="1" applyFont="1" applyBorder="1" applyAlignment="1">
      <alignment horizontal="left" wrapText="1"/>
    </xf>
    <xf numFmtId="0" fontId="32" fillId="0" borderId="51" xfId="1" applyFont="1" applyBorder="1" applyAlignment="1">
      <alignment horizontal="center"/>
    </xf>
    <xf numFmtId="0" fontId="34" fillId="0" borderId="47" xfId="1" applyFont="1" applyBorder="1" applyAlignment="1">
      <alignment horizontal="center" vertical="center"/>
    </xf>
    <xf numFmtId="0" fontId="0" fillId="0" borderId="36" xfId="0" applyBorder="1"/>
    <xf numFmtId="0" fontId="0" fillId="0" borderId="48" xfId="0" applyBorder="1"/>
    <xf numFmtId="0" fontId="0" fillId="0" borderId="45" xfId="0" applyBorder="1"/>
    <xf numFmtId="0" fontId="32" fillId="0" borderId="51" xfId="1" applyFont="1" applyBorder="1" applyAlignment="1">
      <alignment horizontal="center" vertical="top"/>
    </xf>
    <xf numFmtId="0" fontId="29" fillId="0" borderId="0" xfId="0" applyFont="1" applyBorder="1" applyAlignment="1">
      <alignment horizontal="left" wrapText="1"/>
    </xf>
    <xf numFmtId="0" fontId="29" fillId="0" borderId="60" xfId="0" applyFont="1" applyBorder="1" applyAlignment="1">
      <alignment horizontal="left" wrapText="1"/>
    </xf>
    <xf numFmtId="0" fontId="34" fillId="0" borderId="41" xfId="1" applyFont="1" applyBorder="1" applyAlignment="1">
      <alignment horizontal="left" vertical="top"/>
    </xf>
    <xf numFmtId="0" fontId="34" fillId="0" borderId="0" xfId="1" applyFont="1" applyBorder="1" applyAlignment="1">
      <alignment horizontal="left" vertical="top"/>
    </xf>
    <xf numFmtId="0" fontId="34" fillId="0" borderId="36" xfId="1" applyFont="1" applyBorder="1" applyAlignment="1">
      <alignment horizontal="left" vertical="top"/>
    </xf>
    <xf numFmtId="0" fontId="34" fillId="0" borderId="36" xfId="1" applyFont="1" applyBorder="1" applyAlignment="1">
      <alignment horizontal="left"/>
    </xf>
    <xf numFmtId="0" fontId="34" fillId="0" borderId="60" xfId="1" applyFont="1" applyBorder="1" applyAlignment="1">
      <alignment horizontal="left"/>
    </xf>
    <xf numFmtId="0" fontId="34" fillId="0" borderId="0" xfId="1" applyFont="1" applyBorder="1" applyAlignment="1">
      <alignment horizontal="left"/>
    </xf>
    <xf numFmtId="0" fontId="34" fillId="0" borderId="49" xfId="1" applyFont="1" applyBorder="1" applyAlignment="1">
      <alignment horizontal="left"/>
    </xf>
    <xf numFmtId="0" fontId="34" fillId="0" borderId="49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29" fillId="0" borderId="0" xfId="0" applyNumberFormat="1" applyFont="1" applyBorder="1"/>
  </cellXfs>
  <cellStyles count="3">
    <cellStyle name="Normální" xfId="0" builtinId="0"/>
    <cellStyle name="Normální 2 3" xfId="2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73"/>
  <sheetViews>
    <sheetView topLeftCell="A16" workbookViewId="0">
      <selection activeCell="O32" sqref="O31:O32"/>
    </sheetView>
  </sheetViews>
  <sheetFormatPr defaultRowHeight="15" x14ac:dyDescent="0.25"/>
  <cols>
    <col min="10" max="10" width="15.28515625" customWidth="1"/>
    <col min="11" max="11" width="27.140625" customWidth="1"/>
  </cols>
  <sheetData>
    <row r="2" spans="1:11" ht="15.75" thickBot="1" x14ac:dyDescent="0.3">
      <c r="A2" s="339"/>
      <c r="B2" s="340"/>
      <c r="C2" s="340"/>
      <c r="D2" s="340"/>
      <c r="E2" s="340"/>
      <c r="F2" s="340"/>
      <c r="G2" s="341"/>
      <c r="H2" s="340"/>
      <c r="I2" s="340"/>
      <c r="J2" s="341"/>
      <c r="K2" s="342"/>
    </row>
    <row r="3" spans="1:11" ht="18" thickBot="1" x14ac:dyDescent="0.3">
      <c r="A3" s="449" t="s">
        <v>530</v>
      </c>
      <c r="B3" s="449"/>
      <c r="C3" s="450" t="s">
        <v>531</v>
      </c>
      <c r="D3" s="450"/>
      <c r="E3" s="450"/>
      <c r="F3" s="450"/>
      <c r="G3" s="450"/>
      <c r="H3" s="450"/>
      <c r="I3" s="450"/>
      <c r="J3" s="450"/>
      <c r="K3" s="450"/>
    </row>
    <row r="4" spans="1:11" ht="15.75" thickBot="1" x14ac:dyDescent="0.3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1.75" thickBot="1" x14ac:dyDescent="0.3">
      <c r="A5" s="451" t="s">
        <v>532</v>
      </c>
      <c r="B5" s="451"/>
      <c r="C5" s="451"/>
      <c r="D5" s="451"/>
      <c r="E5" s="451"/>
      <c r="F5" s="451"/>
      <c r="G5" s="451"/>
      <c r="H5" s="343" t="s">
        <v>533</v>
      </c>
      <c r="I5" s="344"/>
      <c r="J5" s="345" t="s">
        <v>570</v>
      </c>
      <c r="K5" s="346"/>
    </row>
    <row r="6" spans="1:11" ht="15.75" thickBot="1" x14ac:dyDescent="0.3">
      <c r="A6" s="347"/>
      <c r="B6" s="348"/>
      <c r="C6" s="348"/>
      <c r="D6" s="348"/>
      <c r="E6" s="348"/>
      <c r="F6" s="348"/>
      <c r="G6" s="348"/>
      <c r="H6" s="348"/>
      <c r="I6" s="348"/>
      <c r="J6" s="349"/>
      <c r="K6" s="350"/>
    </row>
    <row r="7" spans="1:11" ht="15.75" thickBot="1" x14ac:dyDescent="0.3">
      <c r="A7" s="351" t="s">
        <v>534</v>
      </c>
      <c r="B7" s="349"/>
      <c r="C7" s="349"/>
      <c r="D7" s="349"/>
      <c r="E7" s="349"/>
      <c r="F7" s="349"/>
      <c r="G7" s="349"/>
      <c r="H7" s="349"/>
      <c r="I7" s="349"/>
      <c r="J7" s="411" t="s">
        <v>5</v>
      </c>
      <c r="K7" s="352">
        <v>43790</v>
      </c>
    </row>
    <row r="8" spans="1:11" ht="15.75" thickBot="1" x14ac:dyDescent="0.3">
      <c r="A8" s="353"/>
      <c r="B8" s="340"/>
      <c r="C8" s="340"/>
      <c r="D8" s="340"/>
      <c r="E8" s="340"/>
      <c r="F8" s="340"/>
      <c r="G8" s="340"/>
      <c r="H8" s="340"/>
      <c r="I8" s="340"/>
      <c r="J8" s="340"/>
      <c r="K8" s="354"/>
    </row>
    <row r="9" spans="1:11" x14ac:dyDescent="0.25">
      <c r="A9" s="452"/>
      <c r="B9" s="453"/>
      <c r="C9" s="453"/>
      <c r="D9" s="453"/>
      <c r="E9" s="453"/>
      <c r="F9" s="453"/>
      <c r="G9" s="453"/>
      <c r="H9" s="453"/>
      <c r="I9" s="397"/>
      <c r="J9" s="398"/>
      <c r="K9" s="399"/>
    </row>
    <row r="10" spans="1:11" x14ac:dyDescent="0.25">
      <c r="A10" s="410" t="s">
        <v>535</v>
      </c>
      <c r="B10" s="396"/>
      <c r="C10" s="393" t="s">
        <v>575</v>
      </c>
      <c r="D10" s="395"/>
      <c r="E10" s="395"/>
      <c r="F10" s="395"/>
      <c r="G10" s="395"/>
      <c r="H10" s="395"/>
      <c r="I10" s="395"/>
      <c r="J10" s="395"/>
      <c r="K10" s="401"/>
    </row>
    <row r="11" spans="1:11" x14ac:dyDescent="0.25">
      <c r="A11" s="400"/>
      <c r="B11" s="396"/>
      <c r="C11" s="454"/>
      <c r="D11" s="454"/>
      <c r="E11" s="454"/>
      <c r="F11" s="454"/>
      <c r="G11" s="454"/>
      <c r="H11" s="454"/>
      <c r="I11" s="454"/>
      <c r="J11" s="454"/>
      <c r="K11" s="455"/>
    </row>
    <row r="12" spans="1:11" ht="30" customHeight="1" x14ac:dyDescent="0.25">
      <c r="A12" s="400"/>
      <c r="B12" s="462" t="s">
        <v>582</v>
      </c>
      <c r="C12" s="462"/>
      <c r="D12" s="462"/>
      <c r="E12" s="462"/>
      <c r="F12" s="462"/>
      <c r="G12" s="462"/>
      <c r="H12" s="462"/>
      <c r="I12" s="462"/>
      <c r="J12" s="462"/>
      <c r="K12" s="463"/>
    </row>
    <row r="13" spans="1:11" x14ac:dyDescent="0.25">
      <c r="A13" s="400"/>
      <c r="B13" s="393" t="s">
        <v>583</v>
      </c>
      <c r="D13" s="393"/>
      <c r="E13" s="393"/>
      <c r="F13" s="393"/>
      <c r="G13" s="393"/>
      <c r="H13" s="393"/>
      <c r="I13" s="393"/>
      <c r="J13" s="393"/>
      <c r="K13" s="402"/>
    </row>
    <row r="14" spans="1:11" x14ac:dyDescent="0.25">
      <c r="A14" s="400"/>
      <c r="B14" s="419" t="s">
        <v>584</v>
      </c>
      <c r="C14" s="393"/>
      <c r="D14" s="393"/>
      <c r="E14" s="393"/>
      <c r="F14" s="393"/>
      <c r="G14" s="393"/>
      <c r="H14" s="393"/>
      <c r="I14" s="393"/>
      <c r="J14" s="393"/>
      <c r="K14" s="402"/>
    </row>
    <row r="15" spans="1:11" x14ac:dyDescent="0.25">
      <c r="A15" s="400"/>
      <c r="B15" s="396"/>
      <c r="D15" s="393"/>
      <c r="E15" s="393"/>
      <c r="F15" s="393"/>
      <c r="G15" s="393"/>
      <c r="H15" s="393"/>
      <c r="I15" s="393"/>
      <c r="J15" s="393"/>
      <c r="K15" s="402"/>
    </row>
    <row r="16" spans="1:11" x14ac:dyDescent="0.25">
      <c r="A16" s="400"/>
      <c r="B16" s="396"/>
      <c r="D16" s="393"/>
      <c r="E16" s="393"/>
      <c r="F16" s="393"/>
      <c r="G16" s="393"/>
      <c r="H16" s="393"/>
      <c r="I16" s="393"/>
      <c r="J16" s="393"/>
      <c r="K16" s="402"/>
    </row>
    <row r="17" spans="1:11" x14ac:dyDescent="0.25">
      <c r="A17" s="400"/>
      <c r="B17" s="396"/>
      <c r="D17" s="393"/>
      <c r="E17" s="393"/>
      <c r="F17" s="393"/>
      <c r="G17" s="393"/>
      <c r="H17" s="393"/>
      <c r="I17" s="393"/>
      <c r="J17" s="393"/>
      <c r="K17" s="402"/>
    </row>
    <row r="18" spans="1:11" x14ac:dyDescent="0.25">
      <c r="A18" s="400"/>
      <c r="B18" s="396"/>
      <c r="C18" s="393"/>
      <c r="D18" s="393"/>
      <c r="E18" s="393"/>
      <c r="F18" s="393"/>
      <c r="G18" s="393"/>
      <c r="H18" s="393"/>
      <c r="I18" s="393"/>
      <c r="J18" s="393"/>
      <c r="K18" s="402"/>
    </row>
    <row r="19" spans="1:11" x14ac:dyDescent="0.25">
      <c r="A19" s="400"/>
      <c r="B19" s="396"/>
      <c r="C19" s="393"/>
      <c r="D19" s="393"/>
      <c r="E19" s="393"/>
      <c r="F19" s="393"/>
      <c r="G19" s="393"/>
      <c r="H19" s="393"/>
      <c r="I19" s="393"/>
      <c r="J19" s="393"/>
      <c r="K19" s="402"/>
    </row>
    <row r="20" spans="1:11" x14ac:dyDescent="0.25">
      <c r="A20" s="400"/>
      <c r="B20" s="396"/>
      <c r="C20" s="393"/>
      <c r="D20" s="393"/>
      <c r="E20" s="393"/>
      <c r="F20" s="393"/>
      <c r="G20" s="393"/>
      <c r="H20" s="393"/>
      <c r="I20" s="393"/>
      <c r="J20" s="393"/>
      <c r="K20" s="402"/>
    </row>
    <row r="21" spans="1:11" x14ac:dyDescent="0.25">
      <c r="A21" s="409" t="s">
        <v>536</v>
      </c>
      <c r="B21" s="403"/>
      <c r="C21" s="454"/>
      <c r="D21" s="454"/>
      <c r="E21" s="454"/>
      <c r="F21" s="454"/>
      <c r="G21" s="454"/>
      <c r="H21" s="454"/>
      <c r="I21" s="454"/>
      <c r="J21" s="454"/>
      <c r="K21" s="455"/>
    </row>
    <row r="22" spans="1:11" x14ac:dyDescent="0.25">
      <c r="A22" s="400"/>
      <c r="B22" s="396"/>
      <c r="C22" s="396"/>
      <c r="D22" s="396"/>
      <c r="E22" s="396"/>
      <c r="F22" s="396"/>
      <c r="G22" s="396"/>
      <c r="H22" s="396"/>
      <c r="I22" s="396"/>
      <c r="J22" s="396"/>
      <c r="K22" s="404"/>
    </row>
    <row r="23" spans="1:11" x14ac:dyDescent="0.25">
      <c r="A23" s="400" t="s">
        <v>537</v>
      </c>
      <c r="B23" s="396"/>
      <c r="C23" s="396"/>
      <c r="D23" s="467"/>
      <c r="E23" s="467"/>
      <c r="F23" s="467"/>
      <c r="G23" s="467"/>
      <c r="H23" s="467"/>
      <c r="I23" s="467"/>
      <c r="J23" s="467"/>
      <c r="K23" s="468"/>
    </row>
    <row r="24" spans="1:11" x14ac:dyDescent="0.25">
      <c r="A24" s="400" t="s">
        <v>538</v>
      </c>
      <c r="B24" s="396"/>
      <c r="C24" s="469"/>
      <c r="D24" s="469"/>
      <c r="E24" s="469"/>
      <c r="F24" s="469"/>
      <c r="G24" s="469"/>
      <c r="H24" s="469"/>
      <c r="I24" s="469"/>
      <c r="J24" s="469"/>
      <c r="K24" s="405"/>
    </row>
    <row r="25" spans="1:11" ht="15.75" thickBot="1" x14ac:dyDescent="0.3">
      <c r="A25" s="406" t="s">
        <v>539</v>
      </c>
      <c r="B25" s="407"/>
      <c r="C25" s="407"/>
      <c r="D25" s="407"/>
      <c r="E25" s="407" t="s">
        <v>540</v>
      </c>
      <c r="F25" s="407"/>
      <c r="G25" s="407"/>
      <c r="H25" s="407"/>
      <c r="I25" s="407"/>
      <c r="J25" s="407"/>
      <c r="K25" s="408"/>
    </row>
    <row r="26" spans="1:11" x14ac:dyDescent="0.25">
      <c r="A26" s="470" t="s">
        <v>541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</row>
    <row r="27" spans="1:11" x14ac:dyDescent="0.25">
      <c r="A27" s="359"/>
      <c r="B27" s="458"/>
      <c r="C27" s="458"/>
      <c r="D27" s="458"/>
      <c r="E27" s="458"/>
      <c r="F27" s="458"/>
      <c r="G27" s="458"/>
      <c r="H27" s="458"/>
      <c r="I27" s="458"/>
      <c r="J27" s="458"/>
      <c r="K27" s="458"/>
    </row>
    <row r="28" spans="1:11" x14ac:dyDescent="0.25">
      <c r="A28" s="471" t="s">
        <v>585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29" spans="1:11" x14ac:dyDescent="0.25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</row>
    <row r="30" spans="1:11" x14ac:dyDescent="0.25">
      <c r="A30" s="471"/>
      <c r="B30" s="471"/>
      <c r="C30" s="471"/>
      <c r="D30" s="471"/>
      <c r="E30" s="471"/>
      <c r="F30" s="471"/>
      <c r="G30" s="471"/>
      <c r="H30" s="471"/>
      <c r="I30" s="471"/>
      <c r="J30" s="471"/>
      <c r="K30" s="471"/>
    </row>
    <row r="31" spans="1:11" x14ac:dyDescent="0.25">
      <c r="A31" s="464" t="s">
        <v>581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6"/>
    </row>
    <row r="32" spans="1:11" x14ac:dyDescent="0.25">
      <c r="A32" s="353"/>
      <c r="B32" s="458"/>
      <c r="C32" s="458"/>
      <c r="D32" s="458"/>
      <c r="E32" s="458"/>
      <c r="F32" s="458"/>
      <c r="G32" s="458"/>
      <c r="H32" s="458"/>
      <c r="I32" s="458"/>
      <c r="J32" s="458"/>
      <c r="K32" s="458"/>
    </row>
    <row r="33" spans="1:11" x14ac:dyDescent="0.25">
      <c r="A33" s="356"/>
      <c r="B33" s="459"/>
      <c r="C33" s="459"/>
      <c r="D33" s="459"/>
      <c r="E33" s="459"/>
      <c r="F33" s="459"/>
      <c r="G33" s="459"/>
      <c r="H33" s="459"/>
      <c r="I33" s="459"/>
      <c r="J33" s="459"/>
      <c r="K33" s="459"/>
    </row>
    <row r="34" spans="1:11" x14ac:dyDescent="0.25">
      <c r="A34" s="353"/>
      <c r="B34" s="460"/>
      <c r="C34" s="460"/>
      <c r="D34" s="460"/>
      <c r="E34" s="460"/>
      <c r="F34" s="460"/>
      <c r="G34" s="460"/>
      <c r="H34" s="460"/>
      <c r="I34" s="460"/>
      <c r="J34" s="460"/>
      <c r="K34" s="460"/>
    </row>
    <row r="35" spans="1:11" x14ac:dyDescent="0.25">
      <c r="A35" s="356"/>
      <c r="B35" s="459"/>
      <c r="C35" s="459"/>
      <c r="D35" s="459"/>
      <c r="E35" s="459"/>
      <c r="F35" s="459"/>
      <c r="G35" s="459"/>
      <c r="H35" s="459"/>
      <c r="I35" s="459"/>
      <c r="J35" s="459"/>
      <c r="K35" s="459"/>
    </row>
    <row r="36" spans="1:11" x14ac:dyDescent="0.25">
      <c r="A36" s="359" t="s">
        <v>542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54"/>
    </row>
    <row r="37" spans="1:11" x14ac:dyDescent="0.25">
      <c r="A37" s="353"/>
      <c r="B37" s="340"/>
      <c r="C37" s="340"/>
      <c r="D37" s="340"/>
      <c r="E37" s="340"/>
      <c r="F37" s="340"/>
      <c r="G37" s="340"/>
      <c r="H37" s="340"/>
      <c r="I37" s="340"/>
      <c r="J37" s="340"/>
      <c r="K37" s="354"/>
    </row>
    <row r="38" spans="1:11" x14ac:dyDescent="0.25">
      <c r="A38" s="353"/>
      <c r="B38" s="342" t="s">
        <v>543</v>
      </c>
      <c r="C38" s="340"/>
      <c r="D38" s="355"/>
      <c r="E38" s="360">
        <f>SUM('paragraf 4'!K3)</f>
        <v>0</v>
      </c>
      <c r="F38" s="361" t="s">
        <v>30</v>
      </c>
      <c r="G38" s="362"/>
      <c r="H38" s="362"/>
      <c r="I38" s="362"/>
      <c r="J38" s="362"/>
      <c r="K38" s="363"/>
    </row>
    <row r="39" spans="1:11" x14ac:dyDescent="0.25">
      <c r="A39" s="353"/>
      <c r="B39" s="364" t="s">
        <v>544</v>
      </c>
      <c r="C39" s="365"/>
      <c r="D39" s="366"/>
      <c r="E39" s="367">
        <f>SUM(E38*0.21)</f>
        <v>0</v>
      </c>
      <c r="F39" s="368" t="s">
        <v>30</v>
      </c>
      <c r="G39" s="369"/>
      <c r="H39" s="362"/>
      <c r="I39" s="362"/>
      <c r="J39" s="362"/>
      <c r="K39" s="363"/>
    </row>
    <row r="40" spans="1:11" x14ac:dyDescent="0.25">
      <c r="A40" s="353"/>
      <c r="B40" s="342" t="s">
        <v>545</v>
      </c>
      <c r="C40" s="340"/>
      <c r="D40" s="355"/>
      <c r="E40" s="360">
        <f>SUM(E38:E39)</f>
        <v>0</v>
      </c>
      <c r="F40" s="361" t="s">
        <v>30</v>
      </c>
      <c r="G40" s="362"/>
      <c r="H40" s="362"/>
      <c r="I40" s="362"/>
      <c r="J40" s="362"/>
      <c r="K40" s="363"/>
    </row>
    <row r="41" spans="1:11" x14ac:dyDescent="0.25">
      <c r="A41" s="356"/>
      <c r="B41" s="357"/>
      <c r="C41" s="357"/>
      <c r="D41" s="357"/>
      <c r="E41" s="357"/>
      <c r="F41" s="357"/>
      <c r="G41" s="357"/>
      <c r="H41" s="357"/>
      <c r="I41" s="357"/>
      <c r="J41" s="357"/>
      <c r="K41" s="358"/>
    </row>
    <row r="42" spans="1:11" x14ac:dyDescent="0.25">
      <c r="A42" s="359" t="s">
        <v>546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54"/>
    </row>
    <row r="43" spans="1:11" x14ac:dyDescent="0.25">
      <c r="A43" s="353"/>
      <c r="B43" s="340"/>
      <c r="C43" s="340"/>
      <c r="D43" s="340"/>
      <c r="E43" s="340"/>
      <c r="F43" s="340"/>
      <c r="G43" s="340"/>
      <c r="H43" s="340"/>
      <c r="I43" s="340"/>
      <c r="J43" s="340"/>
      <c r="K43" s="354"/>
    </row>
    <row r="44" spans="1:11" x14ac:dyDescent="0.25">
      <c r="A44" s="370" t="s">
        <v>547</v>
      </c>
      <c r="B44" s="371"/>
      <c r="C44" s="371"/>
      <c r="D44" s="371"/>
      <c r="E44" s="371"/>
      <c r="F44" s="371"/>
      <c r="G44" s="371"/>
      <c r="H44" s="371"/>
      <c r="I44" s="371"/>
      <c r="J44" s="372"/>
      <c r="K44" s="373"/>
    </row>
    <row r="45" spans="1:11" x14ac:dyDescent="0.25">
      <c r="A45" s="370"/>
      <c r="B45" s="371"/>
      <c r="C45" s="371"/>
      <c r="D45" s="461" t="s">
        <v>548</v>
      </c>
      <c r="E45" s="461"/>
      <c r="F45" s="374"/>
      <c r="G45" s="461" t="s">
        <v>549</v>
      </c>
      <c r="H45" s="461"/>
      <c r="I45" s="374"/>
      <c r="J45" s="375" t="s">
        <v>550</v>
      </c>
      <c r="K45" s="376"/>
    </row>
    <row r="46" spans="1:11" x14ac:dyDescent="0.25">
      <c r="A46" s="370" t="s">
        <v>551</v>
      </c>
      <c r="B46" s="371"/>
      <c r="C46" s="371"/>
      <c r="D46" s="371"/>
      <c r="E46" s="371"/>
      <c r="F46" s="371"/>
      <c r="G46" s="371"/>
      <c r="H46" s="371"/>
      <c r="I46" s="371"/>
      <c r="J46" s="372"/>
      <c r="K46" s="373"/>
    </row>
    <row r="47" spans="1:11" x14ac:dyDescent="0.25">
      <c r="A47" s="370"/>
      <c r="B47" s="371"/>
      <c r="C47" s="371"/>
      <c r="D47" s="461" t="s">
        <v>548</v>
      </c>
      <c r="E47" s="461"/>
      <c r="F47" s="374"/>
      <c r="G47" s="461" t="s">
        <v>549</v>
      </c>
      <c r="H47" s="461"/>
      <c r="I47" s="374"/>
      <c r="J47" s="375" t="s">
        <v>550</v>
      </c>
      <c r="K47" s="373"/>
    </row>
    <row r="48" spans="1:11" x14ac:dyDescent="0.25">
      <c r="A48" s="370" t="s">
        <v>552</v>
      </c>
      <c r="B48" s="371"/>
      <c r="C48" s="371"/>
      <c r="D48" s="457" t="s">
        <v>553</v>
      </c>
      <c r="E48" s="457"/>
      <c r="F48" s="371"/>
      <c r="G48" s="371"/>
      <c r="H48" s="371"/>
      <c r="I48" s="371"/>
      <c r="J48" s="372"/>
      <c r="K48" s="373"/>
    </row>
    <row r="49" spans="1:11" x14ac:dyDescent="0.25">
      <c r="A49" s="370"/>
      <c r="B49" s="371"/>
      <c r="C49" s="371"/>
      <c r="D49" s="461" t="s">
        <v>548</v>
      </c>
      <c r="E49" s="461"/>
      <c r="F49" s="374"/>
      <c r="G49" s="461" t="s">
        <v>549</v>
      </c>
      <c r="H49" s="461"/>
      <c r="I49" s="374"/>
      <c r="J49" s="375" t="s">
        <v>550</v>
      </c>
      <c r="K49" s="373"/>
    </row>
    <row r="50" spans="1:11" x14ac:dyDescent="0.25">
      <c r="A50" s="370" t="s">
        <v>554</v>
      </c>
      <c r="B50" s="371"/>
      <c r="C50" s="371"/>
      <c r="D50" s="457" t="s">
        <v>553</v>
      </c>
      <c r="E50" s="457"/>
      <c r="F50" s="371"/>
      <c r="G50" s="371"/>
      <c r="H50" s="371"/>
      <c r="I50" s="371"/>
      <c r="J50" s="372"/>
      <c r="K50" s="373"/>
    </row>
    <row r="51" spans="1:11" x14ac:dyDescent="0.25">
      <c r="A51" s="353"/>
      <c r="B51" s="340"/>
      <c r="C51" s="340"/>
      <c r="D51" s="461" t="s">
        <v>548</v>
      </c>
      <c r="E51" s="461"/>
      <c r="F51" s="374"/>
      <c r="G51" s="461" t="s">
        <v>549</v>
      </c>
      <c r="H51" s="461"/>
      <c r="I51" s="374"/>
      <c r="J51" s="375" t="s">
        <v>550</v>
      </c>
      <c r="K51" s="377"/>
    </row>
    <row r="52" spans="1:11" x14ac:dyDescent="0.25">
      <c r="A52" s="353"/>
      <c r="B52" s="340"/>
      <c r="C52" s="340"/>
      <c r="D52" s="340"/>
      <c r="E52" s="340"/>
      <c r="F52" s="340"/>
      <c r="G52" s="340"/>
      <c r="H52" s="340"/>
      <c r="I52" s="340"/>
      <c r="J52" s="340"/>
      <c r="K52" s="354"/>
    </row>
    <row r="53" spans="1:11" x14ac:dyDescent="0.25">
      <c r="A53" s="353" t="s">
        <v>555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54"/>
    </row>
    <row r="54" spans="1:11" x14ac:dyDescent="0.25">
      <c r="A54" s="353" t="s">
        <v>556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54"/>
    </row>
    <row r="55" spans="1:11" ht="15.75" thickBot="1" x14ac:dyDescent="0.3">
      <c r="A55" s="353" t="s">
        <v>557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54"/>
    </row>
    <row r="56" spans="1:11" ht="15.75" thickBot="1" x14ac:dyDescent="0.3">
      <c r="A56" s="378" t="s">
        <v>558</v>
      </c>
      <c r="B56" s="379"/>
      <c r="C56" s="379"/>
      <c r="D56" s="379"/>
      <c r="E56" s="379"/>
      <c r="F56" s="379"/>
      <c r="G56" s="379"/>
      <c r="H56" s="379"/>
      <c r="I56" s="380" t="s">
        <v>559</v>
      </c>
      <c r="J56" s="381" t="s">
        <v>571</v>
      </c>
      <c r="K56" s="382"/>
    </row>
    <row r="57" spans="1:11" x14ac:dyDescent="0.25">
      <c r="A57" s="353"/>
      <c r="B57" s="340"/>
      <c r="C57" s="340"/>
      <c r="D57" s="340"/>
      <c r="E57" s="340"/>
      <c r="F57" s="340"/>
      <c r="G57" s="340"/>
      <c r="H57" s="340"/>
      <c r="I57" s="340"/>
      <c r="J57" s="340"/>
      <c r="K57" s="354"/>
    </row>
    <row r="58" spans="1:11" x14ac:dyDescent="0.25">
      <c r="A58" s="353" t="s">
        <v>560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54"/>
    </row>
    <row r="59" spans="1:11" x14ac:dyDescent="0.25">
      <c r="A59" s="353" t="s">
        <v>561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54"/>
    </row>
    <row r="60" spans="1:11" x14ac:dyDescent="0.25">
      <c r="A60" s="353"/>
      <c r="B60" s="340"/>
      <c r="C60" s="340"/>
      <c r="D60" s="340"/>
      <c r="E60" s="340"/>
      <c r="F60" s="340"/>
      <c r="G60" s="340"/>
      <c r="H60" s="340"/>
      <c r="I60" s="340"/>
      <c r="J60" s="340"/>
      <c r="K60" s="354"/>
    </row>
    <row r="61" spans="1:11" ht="26.25" x14ac:dyDescent="0.25">
      <c r="A61" s="353" t="s">
        <v>562</v>
      </c>
      <c r="B61" s="340"/>
      <c r="C61" s="360"/>
      <c r="D61" s="383">
        <f>SUM(E40)</f>
        <v>0</v>
      </c>
      <c r="E61" s="342" t="s">
        <v>30</v>
      </c>
      <c r="F61" s="384"/>
      <c r="G61" s="384"/>
      <c r="H61" s="384"/>
      <c r="I61" s="384" t="s">
        <v>563</v>
      </c>
      <c r="J61" s="385" t="s">
        <v>564</v>
      </c>
      <c r="K61" s="386"/>
    </row>
    <row r="62" spans="1:11" x14ac:dyDescent="0.25">
      <c r="A62" s="353"/>
      <c r="B62" s="340"/>
      <c r="C62" s="340"/>
      <c r="D62" s="340"/>
      <c r="E62" s="340"/>
      <c r="F62" s="340"/>
      <c r="G62" s="340"/>
      <c r="H62" s="340"/>
      <c r="I62" s="340"/>
      <c r="J62" s="342"/>
      <c r="K62" s="387"/>
    </row>
    <row r="63" spans="1:11" x14ac:dyDescent="0.25">
      <c r="A63" s="353"/>
      <c r="B63" s="340"/>
      <c r="C63" s="340"/>
      <c r="D63" s="340"/>
      <c r="E63" s="340"/>
      <c r="F63" s="340"/>
      <c r="G63" s="340"/>
      <c r="H63" s="340"/>
      <c r="I63" s="340"/>
      <c r="J63" s="340"/>
      <c r="K63" s="354"/>
    </row>
    <row r="64" spans="1:11" x14ac:dyDescent="0.25">
      <c r="A64" s="353" t="s">
        <v>565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54"/>
    </row>
    <row r="65" spans="1:11" x14ac:dyDescent="0.25">
      <c r="A65" s="353"/>
      <c r="B65" s="340"/>
      <c r="C65" s="355"/>
      <c r="D65" s="355"/>
      <c r="E65" s="388"/>
      <c r="F65" s="355"/>
      <c r="G65" s="340"/>
      <c r="H65" s="340"/>
      <c r="I65" s="340"/>
      <c r="J65" s="340"/>
      <c r="K65" s="354"/>
    </row>
    <row r="66" spans="1:11" x14ac:dyDescent="0.25">
      <c r="A66" s="353"/>
      <c r="B66" s="340"/>
      <c r="C66" s="355"/>
      <c r="D66" s="355"/>
      <c r="E66" s="456" t="s">
        <v>549</v>
      </c>
      <c r="F66" s="456"/>
      <c r="G66" s="456"/>
      <c r="H66" s="340"/>
      <c r="I66" s="456" t="s">
        <v>550</v>
      </c>
      <c r="J66" s="456"/>
      <c r="K66" s="389"/>
    </row>
    <row r="67" spans="1:11" x14ac:dyDescent="0.25">
      <c r="A67" s="353"/>
      <c r="B67" s="340"/>
      <c r="C67" s="355"/>
      <c r="D67" s="355"/>
      <c r="E67" s="355"/>
      <c r="F67" s="355"/>
      <c r="G67" s="340"/>
      <c r="H67" s="340"/>
      <c r="I67" s="340"/>
      <c r="J67" s="340"/>
      <c r="K67" s="389"/>
    </row>
    <row r="68" spans="1:11" x14ac:dyDescent="0.25">
      <c r="A68" s="353" t="s">
        <v>566</v>
      </c>
      <c r="B68" s="340"/>
      <c r="C68" s="340"/>
      <c r="D68" s="340"/>
      <c r="E68" s="340" t="s">
        <v>567</v>
      </c>
      <c r="F68" s="340"/>
      <c r="G68" s="340"/>
      <c r="H68" s="340"/>
      <c r="I68" s="340"/>
      <c r="J68" s="340"/>
      <c r="K68" s="354"/>
    </row>
    <row r="69" spans="1:11" x14ac:dyDescent="0.25">
      <c r="A69" s="353"/>
      <c r="B69" s="340"/>
      <c r="C69" s="355"/>
      <c r="D69" s="355"/>
      <c r="E69" s="388"/>
      <c r="F69" s="355"/>
      <c r="G69" s="340"/>
      <c r="H69" s="340"/>
      <c r="I69" s="340"/>
      <c r="J69" s="340"/>
      <c r="K69" s="354"/>
    </row>
    <row r="70" spans="1:11" x14ac:dyDescent="0.25">
      <c r="A70" s="353"/>
      <c r="B70" s="340"/>
      <c r="C70" s="355"/>
      <c r="D70" s="355"/>
      <c r="E70" s="456" t="s">
        <v>549</v>
      </c>
      <c r="F70" s="456"/>
      <c r="G70" s="456"/>
      <c r="H70" s="340"/>
      <c r="I70" s="456" t="s">
        <v>550</v>
      </c>
      <c r="J70" s="456"/>
      <c r="K70" s="377"/>
    </row>
    <row r="71" spans="1:11" x14ac:dyDescent="0.25">
      <c r="A71" s="353"/>
      <c r="B71" s="340"/>
      <c r="C71" s="355"/>
      <c r="D71" s="355"/>
      <c r="E71" s="390"/>
      <c r="F71" s="390"/>
      <c r="G71" s="390"/>
      <c r="H71" s="340"/>
      <c r="I71" s="390"/>
      <c r="J71" s="390"/>
      <c r="K71" s="377"/>
    </row>
    <row r="72" spans="1:11" x14ac:dyDescent="0.25">
      <c r="A72" s="353" t="s">
        <v>568</v>
      </c>
      <c r="B72" s="340"/>
      <c r="C72" s="340"/>
      <c r="D72" s="340"/>
      <c r="E72" s="340"/>
      <c r="F72" s="340"/>
      <c r="G72" s="340"/>
      <c r="H72" s="340"/>
      <c r="I72" s="340"/>
      <c r="J72" s="340"/>
      <c r="K72" s="354"/>
    </row>
    <row r="73" spans="1:11" ht="15.75" thickBot="1" x14ac:dyDescent="0.3">
      <c r="A73" s="391" t="s">
        <v>569</v>
      </c>
      <c r="B73" s="349"/>
      <c r="C73" s="349"/>
      <c r="D73" s="349"/>
      <c r="E73" s="349"/>
      <c r="F73" s="349"/>
      <c r="G73" s="349"/>
      <c r="H73" s="349"/>
      <c r="I73" s="349"/>
      <c r="J73" s="349"/>
      <c r="K73" s="392"/>
    </row>
  </sheetData>
  <mergeCells count="31">
    <mergeCell ref="B12:K12"/>
    <mergeCell ref="D51:E51"/>
    <mergeCell ref="G51:H51"/>
    <mergeCell ref="E66:G66"/>
    <mergeCell ref="I66:J66"/>
    <mergeCell ref="A31:K31"/>
    <mergeCell ref="C21:K21"/>
    <mergeCell ref="D23:K23"/>
    <mergeCell ref="C24:J24"/>
    <mergeCell ref="A26:K26"/>
    <mergeCell ref="B27:K27"/>
    <mergeCell ref="A28:K30"/>
    <mergeCell ref="E70:G70"/>
    <mergeCell ref="I70:J70"/>
    <mergeCell ref="D50:E50"/>
    <mergeCell ref="B32:K32"/>
    <mergeCell ref="B33:K33"/>
    <mergeCell ref="B34:K34"/>
    <mergeCell ref="B35:K35"/>
    <mergeCell ref="D45:E45"/>
    <mergeCell ref="G45:H45"/>
    <mergeCell ref="D47:E47"/>
    <mergeCell ref="G47:H47"/>
    <mergeCell ref="D48:E48"/>
    <mergeCell ref="D49:E49"/>
    <mergeCell ref="G49:H49"/>
    <mergeCell ref="A3:B3"/>
    <mergeCell ref="C3:K3"/>
    <mergeCell ref="A5:G5"/>
    <mergeCell ref="A9:H9"/>
    <mergeCell ref="C11:K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M135"/>
  <sheetViews>
    <sheetView workbookViewId="0">
      <selection activeCell="B45" sqref="B45:K48"/>
    </sheetView>
  </sheetViews>
  <sheetFormatPr defaultRowHeight="23.45" customHeight="1" x14ac:dyDescent="0.25"/>
  <cols>
    <col min="1" max="1" width="5.5703125" customWidth="1"/>
    <col min="5" max="5" width="50.140625" customWidth="1"/>
    <col min="9" max="9" width="14.28515625" customWidth="1"/>
    <col min="10" max="10" width="16.42578125" customWidth="1"/>
    <col min="11" max="11" width="17.28515625" customWidth="1"/>
  </cols>
  <sheetData>
    <row r="2" spans="1:11" ht="23.45" customHeight="1" thickBot="1" x14ac:dyDescent="0.3"/>
    <row r="3" spans="1:11" ht="23.45" customHeight="1" thickBot="1" x14ac:dyDescent="0.3">
      <c r="I3" s="414" t="s">
        <v>577</v>
      </c>
      <c r="J3" s="415"/>
      <c r="K3" s="416"/>
    </row>
    <row r="4" spans="1:11" ht="23.45" customHeight="1" thickBot="1" x14ac:dyDescent="0.3">
      <c r="A4" s="20"/>
      <c r="B4" s="21"/>
      <c r="C4" s="22" t="s">
        <v>23</v>
      </c>
      <c r="D4" s="23" t="s">
        <v>24</v>
      </c>
      <c r="E4" s="23" t="s">
        <v>25</v>
      </c>
      <c r="F4" s="21"/>
      <c r="G4" s="21"/>
      <c r="H4" s="21"/>
      <c r="I4" s="24">
        <f>(I10+I12+I13+I14+I15+I16+I22+I24+I26+I28+I30+I39+I40+I41+I42+I44+I47+I51+I52+I54+I60+I61+I62+I64+I65+I66+I67+I68+I69+I70+I71+I72+I73++I74+I75+I76+I78+I79+I80+I81+I82+I95+I97+I101+I102+I103+I104+I109+I110+I111+I112+I116+I117+I118+I119+I120+I121+I122+I124+I125+I127+I128+I130+I131+I132+I133+I134+I135)</f>
        <v>1055655.0301299996</v>
      </c>
      <c r="J4" s="417">
        <f>(J5+J8+J32+J45+J49+J55+J83+J85+J88+J93+J98+J105)</f>
        <v>-871564.5482921201</v>
      </c>
      <c r="K4" s="418">
        <f>(I4+J4)</f>
        <v>184090.48183787952</v>
      </c>
    </row>
    <row r="5" spans="1:11" ht="23.45" customHeight="1" thickBot="1" x14ac:dyDescent="0.3">
      <c r="A5" s="20"/>
      <c r="B5" s="27"/>
      <c r="C5" s="28" t="s">
        <v>23</v>
      </c>
      <c r="D5" s="29" t="s">
        <v>26</v>
      </c>
      <c r="E5" s="29" t="s">
        <v>27</v>
      </c>
      <c r="F5" s="30"/>
      <c r="G5" s="30"/>
      <c r="H5" s="30"/>
      <c r="I5" s="31">
        <f>SUM(I6)</f>
        <v>0</v>
      </c>
      <c r="J5" s="31">
        <f>SUM(J6)</f>
        <v>-13387.5</v>
      </c>
      <c r="K5" s="32">
        <f>SUM(K6)</f>
        <v>-13387.5</v>
      </c>
    </row>
    <row r="6" spans="1:11" ht="23.45" customHeight="1" x14ac:dyDescent="0.25">
      <c r="A6" s="33"/>
      <c r="B6" s="34" t="s">
        <v>28</v>
      </c>
      <c r="C6" s="34"/>
      <c r="D6" s="35"/>
      <c r="E6" s="36" t="s">
        <v>29</v>
      </c>
      <c r="F6" s="37" t="s">
        <v>30</v>
      </c>
      <c r="G6" s="38">
        <v>-1</v>
      </c>
      <c r="H6" s="39">
        <v>13387.5</v>
      </c>
      <c r="I6" s="40"/>
      <c r="J6" s="41">
        <f>SUM(K6)</f>
        <v>-13387.5</v>
      </c>
      <c r="K6" s="42">
        <f>SUM(G6*H6)</f>
        <v>-13387.5</v>
      </c>
    </row>
    <row r="7" spans="1:11" ht="23.45" customHeight="1" thickBot="1" x14ac:dyDescent="0.3">
      <c r="A7" s="20"/>
      <c r="B7" s="21"/>
      <c r="C7" s="22" t="s">
        <v>23</v>
      </c>
      <c r="D7" s="23" t="s">
        <v>32</v>
      </c>
      <c r="E7" s="23" t="s">
        <v>33</v>
      </c>
      <c r="F7" s="21"/>
      <c r="G7" s="21"/>
      <c r="H7" s="21"/>
      <c r="I7" s="26"/>
      <c r="J7" s="26"/>
      <c r="K7" s="26"/>
    </row>
    <row r="8" spans="1:11" ht="23.45" customHeight="1" thickBot="1" x14ac:dyDescent="0.3">
      <c r="A8" s="20" t="s">
        <v>67</v>
      </c>
      <c r="B8" s="27"/>
      <c r="C8" s="28" t="s">
        <v>23</v>
      </c>
      <c r="D8" s="29" t="s">
        <v>68</v>
      </c>
      <c r="E8" s="29" t="s">
        <v>69</v>
      </c>
      <c r="F8" s="30"/>
      <c r="G8" s="30"/>
      <c r="H8" s="30"/>
      <c r="I8" s="31">
        <f>SUM(I9:I31)</f>
        <v>403882.55550000002</v>
      </c>
      <c r="J8" s="31">
        <f>SUM(J9:J31)</f>
        <v>-631333.13892000006</v>
      </c>
      <c r="K8" s="32">
        <f>SUM(K9:K31)</f>
        <v>-227450.58342000004</v>
      </c>
    </row>
    <row r="9" spans="1:11" ht="23.45" customHeight="1" x14ac:dyDescent="0.25">
      <c r="A9" s="33"/>
      <c r="B9" s="85" t="s">
        <v>70</v>
      </c>
      <c r="C9" s="85" t="s">
        <v>52</v>
      </c>
      <c r="D9" s="86" t="s">
        <v>71</v>
      </c>
      <c r="E9" s="87" t="s">
        <v>72</v>
      </c>
      <c r="F9" s="88" t="s">
        <v>57</v>
      </c>
      <c r="G9" s="89">
        <v>-22.86</v>
      </c>
      <c r="H9" s="90">
        <v>1017.45</v>
      </c>
      <c r="I9" s="91"/>
      <c r="J9" s="92">
        <f>SUM(K9)</f>
        <v>-23258.906999999999</v>
      </c>
      <c r="K9" s="93">
        <f>SUM(G9*H9)</f>
        <v>-23258.906999999999</v>
      </c>
    </row>
    <row r="10" spans="1:11" ht="23.45" customHeight="1" x14ac:dyDescent="0.25">
      <c r="A10" s="33"/>
      <c r="B10" s="94" t="s">
        <v>74</v>
      </c>
      <c r="C10" s="94" t="s">
        <v>52</v>
      </c>
      <c r="D10" s="95" t="s">
        <v>71</v>
      </c>
      <c r="E10" s="96" t="s">
        <v>75</v>
      </c>
      <c r="F10" s="97" t="s">
        <v>57</v>
      </c>
      <c r="G10" s="98">
        <v>12.98</v>
      </c>
      <c r="H10" s="99">
        <v>1151.33</v>
      </c>
      <c r="I10" s="74">
        <f>SUM(K10)</f>
        <v>14944.26</v>
      </c>
      <c r="J10" s="100"/>
      <c r="K10" s="101">
        <f>ROUND(H10*G10,2)</f>
        <v>14944.26</v>
      </c>
    </row>
    <row r="11" spans="1:11" ht="23.45" customHeight="1" x14ac:dyDescent="0.25">
      <c r="A11" s="33"/>
      <c r="B11" s="102" t="s">
        <v>77</v>
      </c>
      <c r="C11" s="102" t="s">
        <v>52</v>
      </c>
      <c r="D11" s="103" t="s">
        <v>78</v>
      </c>
      <c r="E11" s="104" t="s">
        <v>79</v>
      </c>
      <c r="F11" s="105" t="s">
        <v>57</v>
      </c>
      <c r="G11" s="106">
        <v>-6.5</v>
      </c>
      <c r="H11" s="107">
        <v>654.20000000000005</v>
      </c>
      <c r="I11" s="108"/>
      <c r="J11" s="109">
        <v>-4252.3</v>
      </c>
      <c r="K11" s="101">
        <f>SUM(G11*H11)</f>
        <v>-4252.3</v>
      </c>
    </row>
    <row r="12" spans="1:11" ht="23.45" customHeight="1" x14ac:dyDescent="0.25">
      <c r="A12" s="33"/>
      <c r="B12" s="94" t="s">
        <v>81</v>
      </c>
      <c r="C12" s="94"/>
      <c r="D12" s="95"/>
      <c r="E12" s="96" t="s">
        <v>82</v>
      </c>
      <c r="F12" s="97" t="s">
        <v>57</v>
      </c>
      <c r="G12" s="98">
        <v>18.399999999999999</v>
      </c>
      <c r="H12" s="99">
        <v>1151.33</v>
      </c>
      <c r="I12" s="74">
        <f>SUM(K12)</f>
        <v>21184.471999999998</v>
      </c>
      <c r="J12" s="109"/>
      <c r="K12" s="101">
        <f>SUM(G12*H12)</f>
        <v>21184.471999999998</v>
      </c>
    </row>
    <row r="13" spans="1:11" ht="23.45" customHeight="1" x14ac:dyDescent="0.25">
      <c r="A13" s="33"/>
      <c r="B13" s="94" t="s">
        <v>84</v>
      </c>
      <c r="C13" s="94" t="s">
        <v>52</v>
      </c>
      <c r="D13" s="95" t="s">
        <v>85</v>
      </c>
      <c r="E13" s="96" t="s">
        <v>86</v>
      </c>
      <c r="F13" s="97" t="s">
        <v>57</v>
      </c>
      <c r="G13" s="98">
        <v>52.2</v>
      </c>
      <c r="H13" s="99">
        <v>1008.53</v>
      </c>
      <c r="I13" s="74">
        <f t="shared" ref="I13:I16" si="0">SUM(K13)</f>
        <v>52645.266000000003</v>
      </c>
      <c r="J13" s="109"/>
      <c r="K13" s="101">
        <f>SUM(G13*H13)</f>
        <v>52645.266000000003</v>
      </c>
    </row>
    <row r="14" spans="1:11" ht="23.45" customHeight="1" x14ac:dyDescent="0.25">
      <c r="A14" s="33"/>
      <c r="B14" s="94" t="s">
        <v>88</v>
      </c>
      <c r="C14" s="94" t="s">
        <v>52</v>
      </c>
      <c r="D14" s="95"/>
      <c r="E14" s="96" t="s">
        <v>89</v>
      </c>
      <c r="F14" s="97" t="s">
        <v>57</v>
      </c>
      <c r="G14" s="98">
        <v>27</v>
      </c>
      <c r="H14" s="99">
        <v>271.32</v>
      </c>
      <c r="I14" s="74">
        <f t="shared" si="0"/>
        <v>7325.6399999999994</v>
      </c>
      <c r="J14" s="109"/>
      <c r="K14" s="101">
        <f t="shared" ref="K14:K30" si="1">SUM(G14*H14)</f>
        <v>7325.6399999999994</v>
      </c>
    </row>
    <row r="15" spans="1:11" ht="23.45" customHeight="1" x14ac:dyDescent="0.25">
      <c r="A15" s="33"/>
      <c r="B15" s="94" t="s">
        <v>91</v>
      </c>
      <c r="C15" s="94"/>
      <c r="D15" s="95"/>
      <c r="E15" s="96" t="s">
        <v>92</v>
      </c>
      <c r="F15" s="97" t="s">
        <v>57</v>
      </c>
      <c r="G15" s="98">
        <v>27</v>
      </c>
      <c r="H15" s="99">
        <v>63.81</v>
      </c>
      <c r="I15" s="74">
        <f t="shared" si="0"/>
        <v>1722.8700000000001</v>
      </c>
      <c r="J15" s="109"/>
      <c r="K15" s="101">
        <f t="shared" si="1"/>
        <v>1722.8700000000001</v>
      </c>
    </row>
    <row r="16" spans="1:11" ht="23.45" customHeight="1" x14ac:dyDescent="0.25">
      <c r="A16" s="33"/>
      <c r="B16" s="94" t="s">
        <v>93</v>
      </c>
      <c r="C16" s="94"/>
      <c r="D16" s="95"/>
      <c r="E16" s="96" t="s">
        <v>94</v>
      </c>
      <c r="F16" s="97" t="s">
        <v>38</v>
      </c>
      <c r="G16" s="98">
        <v>3.75</v>
      </c>
      <c r="H16" s="99">
        <v>2802.45</v>
      </c>
      <c r="I16" s="74">
        <f t="shared" si="0"/>
        <v>10509.1875</v>
      </c>
      <c r="J16" s="109"/>
      <c r="K16" s="101">
        <f t="shared" si="1"/>
        <v>10509.1875</v>
      </c>
    </row>
    <row r="17" spans="1:11" ht="23.45" customHeight="1" x14ac:dyDescent="0.25">
      <c r="A17" s="33"/>
      <c r="B17" s="102" t="s">
        <v>96</v>
      </c>
      <c r="C17" s="102" t="s">
        <v>52</v>
      </c>
      <c r="D17" s="103" t="s">
        <v>97</v>
      </c>
      <c r="E17" s="104" t="s">
        <v>98</v>
      </c>
      <c r="F17" s="105" t="s">
        <v>38</v>
      </c>
      <c r="G17" s="106">
        <v>-4.4800000000000004</v>
      </c>
      <c r="H17" s="107">
        <v>3132.68</v>
      </c>
      <c r="I17" s="108"/>
      <c r="J17" s="109">
        <f>SUM(K17)</f>
        <v>-14034.4064</v>
      </c>
      <c r="K17" s="101">
        <f t="shared" si="1"/>
        <v>-14034.4064</v>
      </c>
    </row>
    <row r="18" spans="1:11" ht="23.45" customHeight="1" x14ac:dyDescent="0.25">
      <c r="A18" s="33"/>
      <c r="B18" s="102" t="s">
        <v>100</v>
      </c>
      <c r="C18" s="102" t="s">
        <v>52</v>
      </c>
      <c r="D18" s="103" t="s">
        <v>101</v>
      </c>
      <c r="E18" s="104" t="s">
        <v>102</v>
      </c>
      <c r="F18" s="105" t="s">
        <v>57</v>
      </c>
      <c r="G18" s="106">
        <v>-44.8</v>
      </c>
      <c r="H18" s="107">
        <v>712.22</v>
      </c>
      <c r="I18" s="108"/>
      <c r="J18" s="109">
        <f>SUM(K18)</f>
        <v>-31907.455999999998</v>
      </c>
      <c r="K18" s="101">
        <f t="shared" si="1"/>
        <v>-31907.455999999998</v>
      </c>
    </row>
    <row r="19" spans="1:11" ht="23.45" customHeight="1" x14ac:dyDescent="0.25">
      <c r="A19" s="33"/>
      <c r="B19" s="102" t="s">
        <v>103</v>
      </c>
      <c r="C19" s="102" t="s">
        <v>52</v>
      </c>
      <c r="D19" s="103" t="s">
        <v>104</v>
      </c>
      <c r="E19" s="104" t="s">
        <v>105</v>
      </c>
      <c r="F19" s="105" t="s">
        <v>57</v>
      </c>
      <c r="G19" s="106">
        <v>-44.8</v>
      </c>
      <c r="H19" s="107">
        <v>77.650000000000006</v>
      </c>
      <c r="I19" s="108"/>
      <c r="J19" s="109">
        <f t="shared" ref="J19:J21" si="2">SUM(K19)</f>
        <v>-3478.7200000000003</v>
      </c>
      <c r="K19" s="101">
        <f t="shared" si="1"/>
        <v>-3478.7200000000003</v>
      </c>
    </row>
    <row r="20" spans="1:11" ht="23.45" customHeight="1" x14ac:dyDescent="0.25">
      <c r="A20" s="33"/>
      <c r="B20" s="102" t="s">
        <v>106</v>
      </c>
      <c r="C20" s="102" t="s">
        <v>52</v>
      </c>
      <c r="D20" s="103" t="s">
        <v>107</v>
      </c>
      <c r="E20" s="104" t="s">
        <v>108</v>
      </c>
      <c r="F20" s="105" t="s">
        <v>47</v>
      </c>
      <c r="G20" s="106">
        <v>-0.79200000000000004</v>
      </c>
      <c r="H20" s="107">
        <v>36503.25</v>
      </c>
      <c r="I20" s="108"/>
      <c r="J20" s="109">
        <f t="shared" si="2"/>
        <v>-28910.574000000001</v>
      </c>
      <c r="K20" s="101">
        <f t="shared" si="1"/>
        <v>-28910.574000000001</v>
      </c>
    </row>
    <row r="21" spans="1:11" ht="23.45" customHeight="1" x14ac:dyDescent="0.25">
      <c r="A21" s="33"/>
      <c r="B21" s="331" t="s">
        <v>110</v>
      </c>
      <c r="C21" s="102" t="s">
        <v>52</v>
      </c>
      <c r="D21" s="103" t="s">
        <v>111</v>
      </c>
      <c r="E21" s="104" t="s">
        <v>112</v>
      </c>
      <c r="F21" s="105" t="s">
        <v>38</v>
      </c>
      <c r="G21" s="106">
        <v>-44.192</v>
      </c>
      <c r="H21" s="107">
        <v>3141.6</v>
      </c>
      <c r="I21" s="108"/>
      <c r="J21" s="109">
        <f t="shared" si="2"/>
        <v>-138833.58720000001</v>
      </c>
      <c r="K21" s="101">
        <f t="shared" si="1"/>
        <v>-138833.58720000001</v>
      </c>
    </row>
    <row r="22" spans="1:11" ht="23.45" customHeight="1" x14ac:dyDescent="0.25">
      <c r="A22" s="33"/>
      <c r="B22" s="332" t="s">
        <v>113</v>
      </c>
      <c r="C22" s="94" t="s">
        <v>52</v>
      </c>
      <c r="D22" s="95" t="s">
        <v>114</v>
      </c>
      <c r="E22" s="96" t="s">
        <v>112</v>
      </c>
      <c r="F22" s="97" t="s">
        <v>38</v>
      </c>
      <c r="G22" s="98">
        <v>38.85</v>
      </c>
      <c r="H22" s="99">
        <v>3141.6</v>
      </c>
      <c r="I22" s="74">
        <f>SUM(K22)</f>
        <v>122051.16</v>
      </c>
      <c r="J22" s="109"/>
      <c r="K22" s="101">
        <f t="shared" si="1"/>
        <v>122051.16</v>
      </c>
    </row>
    <row r="23" spans="1:11" ht="23.45" customHeight="1" x14ac:dyDescent="0.25">
      <c r="A23" s="33"/>
      <c r="B23" s="331" t="s">
        <v>116</v>
      </c>
      <c r="C23" s="102" t="s">
        <v>52</v>
      </c>
      <c r="D23" s="103" t="s">
        <v>117</v>
      </c>
      <c r="E23" s="104" t="s">
        <v>118</v>
      </c>
      <c r="F23" s="105" t="s">
        <v>57</v>
      </c>
      <c r="G23" s="106">
        <v>-351.26400000000001</v>
      </c>
      <c r="H23" s="107">
        <v>764.87</v>
      </c>
      <c r="I23" s="108"/>
      <c r="J23" s="109">
        <f>SUM(K23)</f>
        <v>-268671.29567999998</v>
      </c>
      <c r="K23" s="101">
        <f t="shared" si="1"/>
        <v>-268671.29567999998</v>
      </c>
    </row>
    <row r="24" spans="1:11" ht="23.45" customHeight="1" x14ac:dyDescent="0.25">
      <c r="A24" s="33"/>
      <c r="B24" s="332" t="s">
        <v>119</v>
      </c>
      <c r="C24" s="94" t="s">
        <v>52</v>
      </c>
      <c r="D24" s="95" t="s">
        <v>120</v>
      </c>
      <c r="E24" s="96" t="s">
        <v>118</v>
      </c>
      <c r="F24" s="97" t="s">
        <v>57</v>
      </c>
      <c r="G24" s="98">
        <v>140</v>
      </c>
      <c r="H24" s="99">
        <v>764.87</v>
      </c>
      <c r="I24" s="74">
        <f>SUM(K24)</f>
        <v>107081.8</v>
      </c>
      <c r="J24" s="109"/>
      <c r="K24" s="101">
        <f t="shared" si="1"/>
        <v>107081.8</v>
      </c>
    </row>
    <row r="25" spans="1:11" ht="23.45" customHeight="1" x14ac:dyDescent="0.25">
      <c r="A25" s="33"/>
      <c r="B25" s="331" t="s">
        <v>122</v>
      </c>
      <c r="C25" s="102" t="s">
        <v>52</v>
      </c>
      <c r="D25" s="103" t="s">
        <v>120</v>
      </c>
      <c r="E25" s="104" t="s">
        <v>123</v>
      </c>
      <c r="F25" s="105" t="s">
        <v>57</v>
      </c>
      <c r="G25" s="106">
        <v>-351.26400000000001</v>
      </c>
      <c r="H25" s="107">
        <v>135.66</v>
      </c>
      <c r="I25" s="108"/>
      <c r="J25" s="109">
        <f>SUM(K25)</f>
        <v>-47652.474240000003</v>
      </c>
      <c r="K25" s="101">
        <f t="shared" si="1"/>
        <v>-47652.474240000003</v>
      </c>
    </row>
    <row r="26" spans="1:11" ht="23.45" customHeight="1" x14ac:dyDescent="0.25">
      <c r="A26" s="33"/>
      <c r="B26" s="332" t="s">
        <v>124</v>
      </c>
      <c r="C26" s="94" t="s">
        <v>52</v>
      </c>
      <c r="D26" s="95" t="s">
        <v>120</v>
      </c>
      <c r="E26" s="96" t="s">
        <v>123</v>
      </c>
      <c r="F26" s="97" t="s">
        <v>57</v>
      </c>
      <c r="G26" s="98">
        <f>SUM(G24)</f>
        <v>140</v>
      </c>
      <c r="H26" s="99">
        <v>135.66</v>
      </c>
      <c r="I26" s="74">
        <f>SUM(K26)</f>
        <v>18992.399999999998</v>
      </c>
      <c r="J26" s="109"/>
      <c r="K26" s="101">
        <f t="shared" si="1"/>
        <v>18992.399999999998</v>
      </c>
    </row>
    <row r="27" spans="1:11" ht="23.45" customHeight="1" x14ac:dyDescent="0.25">
      <c r="A27" s="33"/>
      <c r="B27" s="333" t="s">
        <v>125</v>
      </c>
      <c r="C27" s="110" t="s">
        <v>52</v>
      </c>
      <c r="D27" s="111" t="s">
        <v>126</v>
      </c>
      <c r="E27" s="112" t="s">
        <v>127</v>
      </c>
      <c r="F27" s="113" t="s">
        <v>57</v>
      </c>
      <c r="G27" s="114">
        <v>-182.65799999999999</v>
      </c>
      <c r="H27" s="115">
        <v>133.88</v>
      </c>
      <c r="I27" s="116"/>
      <c r="J27" s="109">
        <f>SUM(K27)</f>
        <v>-24454.253039999996</v>
      </c>
      <c r="K27" s="101">
        <f>SUM(G27*H27)</f>
        <v>-24454.253039999996</v>
      </c>
    </row>
    <row r="28" spans="1:11" ht="23.45" customHeight="1" x14ac:dyDescent="0.25">
      <c r="A28" s="33"/>
      <c r="B28" s="332" t="s">
        <v>128</v>
      </c>
      <c r="C28" s="94" t="s">
        <v>52</v>
      </c>
      <c r="D28" s="95" t="s">
        <v>126</v>
      </c>
      <c r="E28" s="96" t="s">
        <v>127</v>
      </c>
      <c r="F28" s="97" t="s">
        <v>57</v>
      </c>
      <c r="G28" s="98">
        <v>162</v>
      </c>
      <c r="H28" s="99">
        <v>133.88</v>
      </c>
      <c r="I28" s="74">
        <f t="shared" ref="I28:I30" si="3">SUM(K28)</f>
        <v>21688.559999999998</v>
      </c>
      <c r="J28" s="109"/>
      <c r="K28" s="101">
        <f t="shared" si="1"/>
        <v>21688.559999999998</v>
      </c>
    </row>
    <row r="29" spans="1:11" ht="23.45" customHeight="1" x14ac:dyDescent="0.25">
      <c r="A29" s="33"/>
      <c r="B29" s="333" t="s">
        <v>130</v>
      </c>
      <c r="C29" s="110" t="s">
        <v>52</v>
      </c>
      <c r="D29" s="111" t="s">
        <v>131</v>
      </c>
      <c r="E29" s="112" t="s">
        <v>132</v>
      </c>
      <c r="F29" s="113" t="s">
        <v>57</v>
      </c>
      <c r="G29" s="114">
        <v>-182.65799999999999</v>
      </c>
      <c r="H29" s="115">
        <v>158.87</v>
      </c>
      <c r="I29" s="116"/>
      <c r="J29" s="109">
        <f>SUM(K29)</f>
        <v>-29018.876459999999</v>
      </c>
      <c r="K29" s="101">
        <f>SUM(G29*H29)</f>
        <v>-29018.876459999999</v>
      </c>
    </row>
    <row r="30" spans="1:11" ht="23.45" customHeight="1" x14ac:dyDescent="0.25">
      <c r="A30" s="33"/>
      <c r="B30" s="332" t="s">
        <v>133</v>
      </c>
      <c r="C30" s="94" t="s">
        <v>52</v>
      </c>
      <c r="D30" s="95" t="s">
        <v>131</v>
      </c>
      <c r="E30" s="96" t="s">
        <v>132</v>
      </c>
      <c r="F30" s="97" t="s">
        <v>57</v>
      </c>
      <c r="G30" s="98">
        <f>SUM(G28)</f>
        <v>162</v>
      </c>
      <c r="H30" s="99">
        <v>158.87</v>
      </c>
      <c r="I30" s="74">
        <f t="shared" si="3"/>
        <v>25736.940000000002</v>
      </c>
      <c r="J30" s="109"/>
      <c r="K30" s="101">
        <f t="shared" si="1"/>
        <v>25736.940000000002</v>
      </c>
    </row>
    <row r="31" spans="1:11" ht="23.45" customHeight="1" thickBot="1" x14ac:dyDescent="0.3">
      <c r="A31" s="33"/>
      <c r="B31" s="334" t="s">
        <v>134</v>
      </c>
      <c r="C31" s="117" t="s">
        <v>52</v>
      </c>
      <c r="D31" s="118" t="s">
        <v>135</v>
      </c>
      <c r="E31" s="119" t="s">
        <v>136</v>
      </c>
      <c r="F31" s="120" t="s">
        <v>47</v>
      </c>
      <c r="G31" s="121">
        <v>0.4274</v>
      </c>
      <c r="H31" s="122">
        <v>39448.5</v>
      </c>
      <c r="I31" s="123"/>
      <c r="J31" s="124">
        <f>SUM(K31)</f>
        <v>-16860.2889</v>
      </c>
      <c r="K31" s="125">
        <f>-SUM(G31*H31)</f>
        <v>-16860.2889</v>
      </c>
    </row>
    <row r="32" spans="1:11" ht="23.45" customHeight="1" thickBot="1" x14ac:dyDescent="0.3">
      <c r="A32" s="20" t="s">
        <v>67</v>
      </c>
      <c r="B32" s="27"/>
      <c r="C32" s="28" t="s">
        <v>23</v>
      </c>
      <c r="D32" s="29" t="s">
        <v>138</v>
      </c>
      <c r="E32" s="29" t="s">
        <v>139</v>
      </c>
      <c r="F32" s="30"/>
      <c r="G32" s="30"/>
      <c r="H32" s="30"/>
      <c r="I32" s="31">
        <f>SUM(I33:I42)</f>
        <v>98559.68793</v>
      </c>
      <c r="J32" s="31">
        <f>SUM(J33:J42)</f>
        <v>-20439.597500000003</v>
      </c>
      <c r="K32" s="32">
        <f>SUM(K33:K42)</f>
        <v>78120.090429999997</v>
      </c>
    </row>
    <row r="33" spans="1:13" ht="23.45" customHeight="1" x14ac:dyDescent="0.25">
      <c r="A33" s="33"/>
      <c r="B33" s="126" t="s">
        <v>140</v>
      </c>
      <c r="C33" s="126"/>
      <c r="D33" s="127"/>
      <c r="E33" s="128" t="s">
        <v>141</v>
      </c>
      <c r="F33" s="129" t="s">
        <v>38</v>
      </c>
      <c r="G33" s="130">
        <v>-1.98</v>
      </c>
      <c r="H33" s="131">
        <v>2748</v>
      </c>
      <c r="I33" s="91"/>
      <c r="J33" s="92">
        <f t="shared" ref="J33:J38" si="4">SUM(K33)</f>
        <v>-5441.04</v>
      </c>
      <c r="K33" s="132">
        <f t="shared" ref="K33:K42" si="5">SUM(G33*H33)</f>
        <v>-5441.04</v>
      </c>
    </row>
    <row r="34" spans="1:13" ht="23.45" customHeight="1" x14ac:dyDescent="0.25">
      <c r="A34" s="33"/>
      <c r="B34" s="110" t="s">
        <v>143</v>
      </c>
      <c r="C34" s="110"/>
      <c r="D34" s="111"/>
      <c r="E34" s="112" t="s">
        <v>144</v>
      </c>
      <c r="F34" s="113" t="s">
        <v>57</v>
      </c>
      <c r="G34" s="114">
        <v>-13.25</v>
      </c>
      <c r="H34" s="115">
        <v>497.12</v>
      </c>
      <c r="I34" s="108"/>
      <c r="J34" s="109">
        <f t="shared" si="4"/>
        <v>-6586.84</v>
      </c>
      <c r="K34" s="101">
        <f t="shared" si="5"/>
        <v>-6586.84</v>
      </c>
    </row>
    <row r="35" spans="1:13" ht="23.45" customHeight="1" x14ac:dyDescent="0.25">
      <c r="A35" s="33"/>
      <c r="B35" s="110" t="s">
        <v>145</v>
      </c>
      <c r="C35" s="110"/>
      <c r="D35" s="111"/>
      <c r="E35" s="112" t="s">
        <v>146</v>
      </c>
      <c r="F35" s="113" t="s">
        <v>57</v>
      </c>
      <c r="G35" s="114">
        <v>-13.25</v>
      </c>
      <c r="H35" s="115">
        <v>95.5</v>
      </c>
      <c r="I35" s="108"/>
      <c r="J35" s="109">
        <f t="shared" si="4"/>
        <v>-1265.375</v>
      </c>
      <c r="K35" s="101">
        <f t="shared" si="5"/>
        <v>-1265.375</v>
      </c>
    </row>
    <row r="36" spans="1:13" ht="23.45" customHeight="1" x14ac:dyDescent="0.25">
      <c r="A36" s="33"/>
      <c r="B36" s="110" t="s">
        <v>147</v>
      </c>
      <c r="C36" s="110"/>
      <c r="D36" s="111"/>
      <c r="E36" s="112" t="s">
        <v>148</v>
      </c>
      <c r="F36" s="113" t="s">
        <v>57</v>
      </c>
      <c r="G36" s="114">
        <v>-1.25</v>
      </c>
      <c r="H36" s="115">
        <v>659.56</v>
      </c>
      <c r="I36" s="108"/>
      <c r="J36" s="109">
        <f t="shared" si="4"/>
        <v>-824.44999999999993</v>
      </c>
      <c r="K36" s="101">
        <f t="shared" si="5"/>
        <v>-824.44999999999993</v>
      </c>
    </row>
    <row r="37" spans="1:13" ht="23.45" customHeight="1" x14ac:dyDescent="0.25">
      <c r="A37" s="33"/>
      <c r="B37" s="110" t="s">
        <v>149</v>
      </c>
      <c r="C37" s="110"/>
      <c r="D37" s="111"/>
      <c r="E37" s="112" t="s">
        <v>150</v>
      </c>
      <c r="F37" s="113" t="s">
        <v>57</v>
      </c>
      <c r="G37" s="114">
        <v>-1.25</v>
      </c>
      <c r="H37" s="115">
        <v>103.53</v>
      </c>
      <c r="I37" s="108"/>
      <c r="J37" s="109">
        <f t="shared" si="4"/>
        <v>-129.41249999999999</v>
      </c>
      <c r="K37" s="101">
        <f t="shared" si="5"/>
        <v>-129.41249999999999</v>
      </c>
    </row>
    <row r="38" spans="1:13" ht="23.45" customHeight="1" x14ac:dyDescent="0.25">
      <c r="A38" s="33"/>
      <c r="B38" s="110" t="s">
        <v>151</v>
      </c>
      <c r="C38" s="110"/>
      <c r="D38" s="111"/>
      <c r="E38" s="112" t="s">
        <v>152</v>
      </c>
      <c r="F38" s="113" t="s">
        <v>47</v>
      </c>
      <c r="G38" s="114">
        <v>-0.16800000000000001</v>
      </c>
      <c r="H38" s="115">
        <v>36860</v>
      </c>
      <c r="I38" s="108"/>
      <c r="J38" s="109">
        <f t="shared" si="4"/>
        <v>-6192.4800000000005</v>
      </c>
      <c r="K38" s="101">
        <f t="shared" si="5"/>
        <v>-6192.4800000000005</v>
      </c>
    </row>
    <row r="39" spans="1:13" ht="23.45" customHeight="1" x14ac:dyDescent="0.25">
      <c r="A39" s="33"/>
      <c r="B39" s="133" t="s">
        <v>153</v>
      </c>
      <c r="C39" s="133"/>
      <c r="D39" s="134" t="s">
        <v>154</v>
      </c>
      <c r="E39" s="135" t="s">
        <v>155</v>
      </c>
      <c r="F39" s="136" t="s">
        <v>38</v>
      </c>
      <c r="G39" s="137">
        <v>9.1029999999999998</v>
      </c>
      <c r="H39" s="138">
        <v>2802.45</v>
      </c>
      <c r="I39" s="74">
        <f>SUM(K39)</f>
        <v>25510.702349999996</v>
      </c>
      <c r="J39" s="109"/>
      <c r="K39" s="101">
        <f t="shared" si="5"/>
        <v>25510.702349999996</v>
      </c>
    </row>
    <row r="40" spans="1:13" ht="23.45" customHeight="1" x14ac:dyDescent="0.25">
      <c r="A40" s="33"/>
      <c r="B40" s="133" t="s">
        <v>157</v>
      </c>
      <c r="C40" s="133"/>
      <c r="D40" s="134" t="s">
        <v>154</v>
      </c>
      <c r="E40" s="135" t="s">
        <v>158</v>
      </c>
      <c r="F40" s="136" t="s">
        <v>57</v>
      </c>
      <c r="G40" s="137">
        <v>60.716000000000001</v>
      </c>
      <c r="H40" s="138">
        <v>271.32</v>
      </c>
      <c r="I40" s="74">
        <f t="shared" ref="I40:I42" si="6">SUM(K40)</f>
        <v>16473.465120000001</v>
      </c>
      <c r="J40" s="109"/>
      <c r="K40" s="101">
        <f t="shared" si="5"/>
        <v>16473.465120000001</v>
      </c>
    </row>
    <row r="41" spans="1:13" ht="23.45" customHeight="1" x14ac:dyDescent="0.25">
      <c r="A41" s="33"/>
      <c r="B41" s="133" t="s">
        <v>160</v>
      </c>
      <c r="C41" s="133"/>
      <c r="D41" s="134" t="s">
        <v>154</v>
      </c>
      <c r="E41" s="135" t="s">
        <v>161</v>
      </c>
      <c r="F41" s="136" t="s">
        <v>57</v>
      </c>
      <c r="G41" s="137">
        <v>60.716000000000001</v>
      </c>
      <c r="H41" s="138">
        <v>63.81</v>
      </c>
      <c r="I41" s="74">
        <f t="shared" si="6"/>
        <v>3874.2879600000001</v>
      </c>
      <c r="J41" s="109"/>
      <c r="K41" s="101">
        <f t="shared" si="5"/>
        <v>3874.2879600000001</v>
      </c>
    </row>
    <row r="42" spans="1:13" ht="23.45" customHeight="1" thickBot="1" x14ac:dyDescent="0.3">
      <c r="A42" s="33"/>
      <c r="B42" s="139" t="s">
        <v>162</v>
      </c>
      <c r="C42" s="139"/>
      <c r="D42" s="140" t="s">
        <v>154</v>
      </c>
      <c r="E42" s="141" t="s">
        <v>163</v>
      </c>
      <c r="F42" s="142" t="s">
        <v>47</v>
      </c>
      <c r="G42" s="143">
        <v>1.458</v>
      </c>
      <c r="H42" s="144">
        <v>36146.25</v>
      </c>
      <c r="I42" s="75">
        <f t="shared" si="6"/>
        <v>52701.232499999998</v>
      </c>
      <c r="J42" s="124"/>
      <c r="K42" s="125">
        <f t="shared" si="5"/>
        <v>52701.232499999998</v>
      </c>
    </row>
    <row r="43" spans="1:13" ht="23.45" customHeight="1" thickBot="1" x14ac:dyDescent="0.3">
      <c r="A43" s="20" t="s">
        <v>67</v>
      </c>
      <c r="B43" s="27"/>
      <c r="C43" s="28" t="s">
        <v>23</v>
      </c>
      <c r="D43" s="29" t="s">
        <v>164</v>
      </c>
      <c r="E43" s="29" t="s">
        <v>165</v>
      </c>
      <c r="F43" s="30"/>
      <c r="G43" s="30"/>
      <c r="H43" s="30"/>
      <c r="I43" s="31">
        <f>SUM(I44)</f>
        <v>19072.367999999999</v>
      </c>
      <c r="J43" s="31">
        <f>SUM(J44)</f>
        <v>0</v>
      </c>
      <c r="K43" s="32">
        <f>SUM(K44)</f>
        <v>19072.367999999999</v>
      </c>
    </row>
    <row r="44" spans="1:13" ht="23.45" customHeight="1" thickBot="1" x14ac:dyDescent="0.3">
      <c r="A44" s="33"/>
      <c r="B44" s="145" t="s">
        <v>166</v>
      </c>
      <c r="C44" s="145" t="s">
        <v>167</v>
      </c>
      <c r="D44" s="146"/>
      <c r="E44" s="147" t="s">
        <v>168</v>
      </c>
      <c r="F44" s="148" t="s">
        <v>57</v>
      </c>
      <c r="G44" s="149">
        <v>100.8</v>
      </c>
      <c r="H44" s="150">
        <v>189.21</v>
      </c>
      <c r="I44" s="151">
        <f>SUM(K44)</f>
        <v>19072.367999999999</v>
      </c>
      <c r="J44" s="152"/>
      <c r="K44" s="153">
        <f>SUM(G44*H44)</f>
        <v>19072.367999999999</v>
      </c>
    </row>
    <row r="45" spans="1:13" ht="23.45" customHeight="1" thickBot="1" x14ac:dyDescent="0.3">
      <c r="A45" s="20" t="s">
        <v>67</v>
      </c>
      <c r="B45" s="27"/>
      <c r="C45" s="28" t="s">
        <v>23</v>
      </c>
      <c r="D45" s="29" t="s">
        <v>170</v>
      </c>
      <c r="E45" s="29" t="s">
        <v>171</v>
      </c>
      <c r="F45" s="30"/>
      <c r="G45" s="30"/>
      <c r="H45" s="30"/>
      <c r="I45" s="31">
        <f>SUM(I46:I48)</f>
        <v>22148.655999999999</v>
      </c>
      <c r="J45" s="31">
        <f>SUM(J46:J48)</f>
        <v>-22606.535492120001</v>
      </c>
      <c r="K45" s="32">
        <f>SUM(I45+J45)</f>
        <v>-457.8794921200024</v>
      </c>
    </row>
    <row r="46" spans="1:13" ht="23.45" customHeight="1" x14ac:dyDescent="0.25">
      <c r="A46" s="443"/>
      <c r="B46" s="420" t="s">
        <v>175</v>
      </c>
      <c r="C46" s="421"/>
      <c r="D46" s="422"/>
      <c r="E46" s="423" t="s">
        <v>176</v>
      </c>
      <c r="F46" s="424" t="s">
        <v>57</v>
      </c>
      <c r="G46" s="425">
        <v>75.2</v>
      </c>
      <c r="H46" s="426">
        <v>-260.61</v>
      </c>
      <c r="I46" s="427"/>
      <c r="J46" s="428">
        <v>-19597.872000000003</v>
      </c>
      <c r="K46" s="429">
        <v>-19597.872000000003</v>
      </c>
      <c r="L46" s="442"/>
    </row>
    <row r="47" spans="1:13" ht="23.45" customHeight="1" x14ac:dyDescent="0.25">
      <c r="A47" s="443"/>
      <c r="B47" s="430" t="s">
        <v>177</v>
      </c>
      <c r="C47" s="133"/>
      <c r="D47" s="134" t="s">
        <v>178</v>
      </c>
      <c r="E47" s="135" t="s">
        <v>179</v>
      </c>
      <c r="F47" s="136" t="s">
        <v>57</v>
      </c>
      <c r="G47" s="137">
        <v>75.2</v>
      </c>
      <c r="H47" s="138">
        <v>294.52999999999997</v>
      </c>
      <c r="I47" s="74">
        <f>SUM(K47)</f>
        <v>22148.655999999999</v>
      </c>
      <c r="J47" s="109"/>
      <c r="K47" s="132">
        <f t="shared" ref="K47:K48" si="7">SUM(G47*H47)</f>
        <v>22148.655999999999</v>
      </c>
      <c r="L47" s="442"/>
    </row>
    <row r="48" spans="1:13" ht="23.45" customHeight="1" thickBot="1" x14ac:dyDescent="0.3">
      <c r="A48" s="443"/>
      <c r="B48" s="431" t="s">
        <v>172</v>
      </c>
      <c r="C48" s="432"/>
      <c r="D48" s="433"/>
      <c r="E48" s="434" t="s">
        <v>173</v>
      </c>
      <c r="F48" s="435" t="s">
        <v>174</v>
      </c>
      <c r="G48" s="436">
        <v>19.370740999999999</v>
      </c>
      <c r="H48" s="437">
        <v>-155.32</v>
      </c>
      <c r="I48" s="438"/>
      <c r="J48" s="439">
        <f>SUM(K48)</f>
        <v>-3008.6634921199998</v>
      </c>
      <c r="K48" s="440">
        <f t="shared" si="7"/>
        <v>-3008.6634921199998</v>
      </c>
      <c r="L48" s="442"/>
      <c r="M48" s="441" t="s">
        <v>586</v>
      </c>
    </row>
    <row r="49" spans="1:13" ht="23.45" customHeight="1" thickBot="1" x14ac:dyDescent="0.3">
      <c r="A49" s="20" t="s">
        <v>67</v>
      </c>
      <c r="B49" s="27"/>
      <c r="C49" s="28" t="s">
        <v>23</v>
      </c>
      <c r="D49" s="29" t="s">
        <v>180</v>
      </c>
      <c r="E49" s="29" t="s">
        <v>181</v>
      </c>
      <c r="F49" s="30"/>
      <c r="G49" s="30"/>
      <c r="H49" s="30"/>
      <c r="I49" s="31">
        <f>SUM(I50:I52)</f>
        <v>44010.038399999998</v>
      </c>
      <c r="J49" s="31">
        <f>SUM(J50:J52)</f>
        <v>-67489.63248</v>
      </c>
      <c r="K49" s="32">
        <f>SUM(K50:K52)</f>
        <v>-23479.594080000003</v>
      </c>
      <c r="M49" s="394" t="s">
        <v>587</v>
      </c>
    </row>
    <row r="50" spans="1:13" ht="23.45" customHeight="1" x14ac:dyDescent="0.25">
      <c r="A50" s="33"/>
      <c r="B50" s="85" t="s">
        <v>182</v>
      </c>
      <c r="C50" s="161"/>
      <c r="D50" s="162"/>
      <c r="E50" s="87" t="s">
        <v>183</v>
      </c>
      <c r="F50" s="88" t="s">
        <v>57</v>
      </c>
      <c r="G50" s="89">
        <v>544.00800000000004</v>
      </c>
      <c r="H50" s="90">
        <v>-124.06</v>
      </c>
      <c r="I50" s="163"/>
      <c r="J50" s="164">
        <f>SUM(K50)</f>
        <v>-67489.63248</v>
      </c>
      <c r="K50" s="93">
        <f>SUM(G50*H50)</f>
        <v>-67489.63248</v>
      </c>
    </row>
    <row r="51" spans="1:13" ht="23.45" customHeight="1" x14ac:dyDescent="0.25">
      <c r="A51" s="165"/>
      <c r="B51" s="94" t="s">
        <v>185</v>
      </c>
      <c r="C51" s="94" t="s">
        <v>52</v>
      </c>
      <c r="D51" s="95" t="s">
        <v>186</v>
      </c>
      <c r="E51" s="96" t="s">
        <v>187</v>
      </c>
      <c r="F51" s="97" t="s">
        <v>57</v>
      </c>
      <c r="G51" s="98">
        <v>544.00800000000004</v>
      </c>
      <c r="H51" s="99">
        <v>54.8</v>
      </c>
      <c r="I51" s="74">
        <f>SUM(K51)</f>
        <v>29811.6384</v>
      </c>
      <c r="J51" s="109"/>
      <c r="K51" s="101">
        <f>SUM(G51*H51)</f>
        <v>29811.6384</v>
      </c>
    </row>
    <row r="52" spans="1:13" ht="23.45" customHeight="1" thickBot="1" x14ac:dyDescent="0.3">
      <c r="A52" s="165"/>
      <c r="B52" s="166" t="s">
        <v>189</v>
      </c>
      <c r="C52" s="166" t="s">
        <v>52</v>
      </c>
      <c r="D52" s="167" t="s">
        <v>186</v>
      </c>
      <c r="E52" s="168" t="s">
        <v>190</v>
      </c>
      <c r="F52" s="169" t="s">
        <v>65</v>
      </c>
      <c r="G52" s="170">
        <v>144</v>
      </c>
      <c r="H52" s="171">
        <v>98.6</v>
      </c>
      <c r="I52" s="75">
        <f>SUM(K52)</f>
        <v>14198.4</v>
      </c>
      <c r="J52" s="124"/>
      <c r="K52" s="125">
        <f>SUM(G52*H52)</f>
        <v>14198.4</v>
      </c>
    </row>
    <row r="53" spans="1:13" ht="23.45" customHeight="1" thickBot="1" x14ac:dyDescent="0.3">
      <c r="A53" s="20" t="s">
        <v>67</v>
      </c>
      <c r="B53" s="27"/>
      <c r="C53" s="28" t="s">
        <v>23</v>
      </c>
      <c r="D53" s="29" t="s">
        <v>192</v>
      </c>
      <c r="E53" s="29" t="s">
        <v>193</v>
      </c>
      <c r="F53" s="30"/>
      <c r="G53" s="30"/>
      <c r="H53" s="30"/>
      <c r="I53" s="31">
        <f>SUM(I54)</f>
        <v>1653.8</v>
      </c>
      <c r="J53" s="31">
        <f>SUM(J54)</f>
        <v>0</v>
      </c>
      <c r="K53" s="32">
        <f>SUM(K54)</f>
        <v>1653.8</v>
      </c>
    </row>
    <row r="54" spans="1:13" ht="23.45" customHeight="1" thickBot="1" x14ac:dyDescent="0.3">
      <c r="A54" s="33"/>
      <c r="B54" s="145" t="s">
        <v>194</v>
      </c>
      <c r="C54" s="145"/>
      <c r="D54" s="146"/>
      <c r="E54" s="147" t="s">
        <v>195</v>
      </c>
      <c r="F54" s="148" t="s">
        <v>196</v>
      </c>
      <c r="G54" s="149">
        <v>1</v>
      </c>
      <c r="H54" s="150">
        <v>1653.8</v>
      </c>
      <c r="I54" s="151">
        <f>SUM(K54)</f>
        <v>1653.8</v>
      </c>
      <c r="J54" s="152"/>
      <c r="K54" s="153">
        <f>SUM(G54*H54)</f>
        <v>1653.8</v>
      </c>
      <c r="M54">
        <f>-'pragraf 6'!E3</f>
        <v>0</v>
      </c>
    </row>
    <row r="55" spans="1:13" ht="23.45" customHeight="1" thickBot="1" x14ac:dyDescent="0.3">
      <c r="A55" s="20" t="s">
        <v>67</v>
      </c>
      <c r="B55" s="27"/>
      <c r="C55" s="28" t="s">
        <v>23</v>
      </c>
      <c r="D55" s="29" t="s">
        <v>198</v>
      </c>
      <c r="E55" s="29" t="s">
        <v>199</v>
      </c>
      <c r="F55" s="30"/>
      <c r="G55" s="30"/>
      <c r="H55" s="30"/>
      <c r="I55" s="31">
        <f>SUM(I56:I62)</f>
        <v>104706.62000000001</v>
      </c>
      <c r="J55" s="31">
        <f>SUM(J56:J62)</f>
        <v>-42751.8</v>
      </c>
      <c r="K55" s="32">
        <f>SUM(K56:K62)</f>
        <v>61954.820000000007</v>
      </c>
    </row>
    <row r="56" spans="1:13" ht="23.45" customHeight="1" x14ac:dyDescent="0.25">
      <c r="A56" s="33"/>
      <c r="B56" s="85" t="s">
        <v>200</v>
      </c>
      <c r="C56" s="85" t="s">
        <v>52</v>
      </c>
      <c r="D56" s="86" t="s">
        <v>201</v>
      </c>
      <c r="E56" s="87" t="s">
        <v>202</v>
      </c>
      <c r="F56" s="88" t="s">
        <v>57</v>
      </c>
      <c r="G56" s="89">
        <v>-714</v>
      </c>
      <c r="H56" s="90">
        <v>14.37</v>
      </c>
      <c r="I56" s="91"/>
      <c r="J56" s="92">
        <f>SUM(K56)</f>
        <v>-10260.18</v>
      </c>
      <c r="K56" s="132">
        <f>SUM(G56*H56)</f>
        <v>-10260.18</v>
      </c>
    </row>
    <row r="57" spans="1:13" ht="23.45" customHeight="1" x14ac:dyDescent="0.25">
      <c r="A57" s="33"/>
      <c r="B57" s="102" t="s">
        <v>204</v>
      </c>
      <c r="C57" s="102" t="s">
        <v>52</v>
      </c>
      <c r="D57" s="103" t="s">
        <v>205</v>
      </c>
      <c r="E57" s="104" t="s">
        <v>206</v>
      </c>
      <c r="F57" s="105" t="s">
        <v>57</v>
      </c>
      <c r="G57" s="106">
        <v>-42840</v>
      </c>
      <c r="H57" s="107">
        <v>0.31</v>
      </c>
      <c r="I57" s="108"/>
      <c r="J57" s="92">
        <f t="shared" ref="J57:J59" si="8">SUM(K57)</f>
        <v>-13280.4</v>
      </c>
      <c r="K57" s="101">
        <f t="shared" ref="K57:K59" si="9">SUM(G57*H57)</f>
        <v>-13280.4</v>
      </c>
    </row>
    <row r="58" spans="1:13" ht="23.45" customHeight="1" x14ac:dyDescent="0.25">
      <c r="A58" s="33"/>
      <c r="B58" s="102" t="s">
        <v>207</v>
      </c>
      <c r="C58" s="102" t="s">
        <v>52</v>
      </c>
      <c r="D58" s="103" t="s">
        <v>208</v>
      </c>
      <c r="E58" s="104" t="s">
        <v>209</v>
      </c>
      <c r="F58" s="105" t="s">
        <v>57</v>
      </c>
      <c r="G58" s="106">
        <v>-714</v>
      </c>
      <c r="H58" s="107">
        <v>9.73</v>
      </c>
      <c r="I58" s="108"/>
      <c r="J58" s="92">
        <f t="shared" si="8"/>
        <v>-6947.22</v>
      </c>
      <c r="K58" s="101">
        <f t="shared" si="9"/>
        <v>-6947.22</v>
      </c>
    </row>
    <row r="59" spans="1:13" ht="23.45" customHeight="1" x14ac:dyDescent="0.25">
      <c r="A59" s="33"/>
      <c r="B59" s="331" t="s">
        <v>210</v>
      </c>
      <c r="C59" s="172" t="s">
        <v>52</v>
      </c>
      <c r="D59" s="103" t="s">
        <v>211</v>
      </c>
      <c r="E59" s="104" t="s">
        <v>212</v>
      </c>
      <c r="F59" s="105" t="s">
        <v>57</v>
      </c>
      <c r="G59" s="106">
        <v>-300</v>
      </c>
      <c r="H59" s="107">
        <v>40.880000000000003</v>
      </c>
      <c r="I59" s="108"/>
      <c r="J59" s="92">
        <f t="shared" si="8"/>
        <v>-12264</v>
      </c>
      <c r="K59" s="101">
        <f t="shared" si="9"/>
        <v>-12264</v>
      </c>
    </row>
    <row r="60" spans="1:13" ht="23.45" customHeight="1" x14ac:dyDescent="0.25">
      <c r="A60" s="33"/>
      <c r="B60" s="332" t="s">
        <v>213</v>
      </c>
      <c r="C60" s="94" t="s">
        <v>52</v>
      </c>
      <c r="D60" s="95" t="s">
        <v>211</v>
      </c>
      <c r="E60" s="96" t="s">
        <v>214</v>
      </c>
      <c r="F60" s="97" t="s">
        <v>57</v>
      </c>
      <c r="G60" s="338">
        <v>662</v>
      </c>
      <c r="H60" s="99">
        <v>38.200000000000003</v>
      </c>
      <c r="I60" s="173">
        <f>SUM(K60)</f>
        <v>25288.400000000001</v>
      </c>
      <c r="J60" s="164"/>
      <c r="K60" s="174">
        <f>SUM(G60*H60)</f>
        <v>25288.400000000001</v>
      </c>
    </row>
    <row r="61" spans="1:13" ht="23.45" customHeight="1" x14ac:dyDescent="0.25">
      <c r="A61" s="33"/>
      <c r="B61" s="94" t="s">
        <v>216</v>
      </c>
      <c r="C61" s="94" t="s">
        <v>52</v>
      </c>
      <c r="D61" s="95" t="s">
        <v>217</v>
      </c>
      <c r="E61" s="96" t="s">
        <v>214</v>
      </c>
      <c r="F61" s="97" t="s">
        <v>57</v>
      </c>
      <c r="G61" s="98">
        <v>40540</v>
      </c>
      <c r="H61" s="99">
        <v>1.58</v>
      </c>
      <c r="I61" s="173">
        <f t="shared" ref="I61:I62" si="10">SUM(K61)</f>
        <v>64053.200000000004</v>
      </c>
      <c r="J61" s="164"/>
      <c r="K61" s="174">
        <f>SUM(G61*H61)</f>
        <v>64053.200000000004</v>
      </c>
    </row>
    <row r="62" spans="1:13" ht="23.45" customHeight="1" thickBot="1" x14ac:dyDescent="0.3">
      <c r="A62" s="33"/>
      <c r="B62" s="166" t="s">
        <v>218</v>
      </c>
      <c r="C62" s="166" t="s">
        <v>52</v>
      </c>
      <c r="D62" s="167" t="s">
        <v>219</v>
      </c>
      <c r="E62" s="168" t="s">
        <v>214</v>
      </c>
      <c r="F62" s="169" t="s">
        <v>57</v>
      </c>
      <c r="G62" s="170">
        <v>662</v>
      </c>
      <c r="H62" s="171">
        <v>23.21</v>
      </c>
      <c r="I62" s="173">
        <f t="shared" si="10"/>
        <v>15365.02</v>
      </c>
      <c r="J62" s="176"/>
      <c r="K62" s="177">
        <f>SUM(G62*H62)</f>
        <v>15365.02</v>
      </c>
    </row>
    <row r="63" spans="1:13" ht="23.45" customHeight="1" thickBot="1" x14ac:dyDescent="0.3">
      <c r="A63" s="20" t="s">
        <v>67</v>
      </c>
      <c r="B63" s="27"/>
      <c r="C63" s="28" t="s">
        <v>23</v>
      </c>
      <c r="D63" s="29" t="s">
        <v>220</v>
      </c>
      <c r="E63" s="29" t="s">
        <v>221</v>
      </c>
      <c r="F63" s="30"/>
      <c r="G63" s="30"/>
      <c r="H63" s="30"/>
      <c r="I63" s="31">
        <f>SUM(I64:I76)</f>
        <v>219156.5</v>
      </c>
      <c r="J63" s="31">
        <f>SUM(J64:J76)</f>
        <v>0</v>
      </c>
      <c r="K63" s="32">
        <f>SUM(K64:K76)</f>
        <v>219156.5</v>
      </c>
    </row>
    <row r="64" spans="1:13" ht="23.45" customHeight="1" x14ac:dyDescent="0.25">
      <c r="A64" s="33"/>
      <c r="B64" s="178"/>
      <c r="C64" s="178"/>
      <c r="D64" s="178"/>
      <c r="E64" s="178" t="s">
        <v>222</v>
      </c>
      <c r="F64" s="179" t="s">
        <v>174</v>
      </c>
      <c r="G64" s="180">
        <v>240</v>
      </c>
      <c r="H64" s="181">
        <v>105.5</v>
      </c>
      <c r="I64" s="73">
        <f>SUM(K64)</f>
        <v>25320</v>
      </c>
      <c r="J64" s="182"/>
      <c r="K64" s="93">
        <f t="shared" ref="K64:K76" si="11">G64*H64</f>
        <v>25320</v>
      </c>
    </row>
    <row r="65" spans="1:11" ht="23.45" customHeight="1" x14ac:dyDescent="0.25">
      <c r="A65" s="33"/>
      <c r="B65" s="96"/>
      <c r="C65" s="96"/>
      <c r="D65" s="96"/>
      <c r="E65" s="96" t="s">
        <v>224</v>
      </c>
      <c r="F65" s="97" t="s">
        <v>174</v>
      </c>
      <c r="G65" s="98">
        <v>250</v>
      </c>
      <c r="H65" s="99">
        <v>6.5</v>
      </c>
      <c r="I65" s="74">
        <f t="shared" ref="I65:I76" si="12">SUM(K65)</f>
        <v>1625</v>
      </c>
      <c r="J65" s="184"/>
      <c r="K65" s="174">
        <f t="shared" si="11"/>
        <v>1625</v>
      </c>
    </row>
    <row r="66" spans="1:11" ht="23.45" customHeight="1" x14ac:dyDescent="0.25">
      <c r="A66" s="33"/>
      <c r="B66" s="96"/>
      <c r="C66" s="96"/>
      <c r="D66" s="96"/>
      <c r="E66" s="96" t="s">
        <v>225</v>
      </c>
      <c r="F66" s="97" t="s">
        <v>226</v>
      </c>
      <c r="G66" s="98">
        <v>270</v>
      </c>
      <c r="H66" s="99">
        <v>10</v>
      </c>
      <c r="I66" s="74">
        <f t="shared" si="12"/>
        <v>2700</v>
      </c>
      <c r="J66" s="184"/>
      <c r="K66" s="174">
        <f t="shared" si="11"/>
        <v>2700</v>
      </c>
    </row>
    <row r="67" spans="1:11" ht="23.45" customHeight="1" x14ac:dyDescent="0.25">
      <c r="A67" s="33"/>
      <c r="B67" s="96"/>
      <c r="C67" s="96"/>
      <c r="D67" s="96"/>
      <c r="E67" s="96" t="s">
        <v>227</v>
      </c>
      <c r="F67" s="97" t="s">
        <v>174</v>
      </c>
      <c r="G67" s="98">
        <v>240</v>
      </c>
      <c r="H67" s="99">
        <v>35.799999999999997</v>
      </c>
      <c r="I67" s="74">
        <f t="shared" si="12"/>
        <v>8592</v>
      </c>
      <c r="J67" s="184"/>
      <c r="K67" s="174">
        <f t="shared" si="11"/>
        <v>8592</v>
      </c>
    </row>
    <row r="68" spans="1:11" ht="23.45" customHeight="1" x14ac:dyDescent="0.25">
      <c r="A68" s="33"/>
      <c r="B68" s="96"/>
      <c r="C68" s="96"/>
      <c r="D68" s="96"/>
      <c r="E68" s="96" t="s">
        <v>228</v>
      </c>
      <c r="F68" s="97" t="s">
        <v>226</v>
      </c>
      <c r="G68" s="98">
        <v>6</v>
      </c>
      <c r="H68" s="185">
        <v>3100</v>
      </c>
      <c r="I68" s="74">
        <f t="shared" si="12"/>
        <v>18600</v>
      </c>
      <c r="J68" s="184"/>
      <c r="K68" s="174">
        <f t="shared" si="11"/>
        <v>18600</v>
      </c>
    </row>
    <row r="69" spans="1:11" ht="23.45" customHeight="1" x14ac:dyDescent="0.25">
      <c r="A69" s="33"/>
      <c r="B69" s="186"/>
      <c r="C69" s="96" t="s">
        <v>229</v>
      </c>
      <c r="D69" s="96"/>
      <c r="E69" s="96" t="s">
        <v>230</v>
      </c>
      <c r="F69" s="97" t="s">
        <v>231</v>
      </c>
      <c r="G69" s="98">
        <v>1</v>
      </c>
      <c r="H69" s="99">
        <v>15598</v>
      </c>
      <c r="I69" s="74">
        <f t="shared" si="12"/>
        <v>15598</v>
      </c>
      <c r="J69" s="184"/>
      <c r="K69" s="174">
        <f t="shared" si="11"/>
        <v>15598</v>
      </c>
    </row>
    <row r="70" spans="1:11" ht="23.45" customHeight="1" x14ac:dyDescent="0.25">
      <c r="A70" s="33"/>
      <c r="B70" s="96"/>
      <c r="C70" s="96"/>
      <c r="D70" s="96"/>
      <c r="E70" s="96" t="s">
        <v>232</v>
      </c>
      <c r="F70" s="97" t="s">
        <v>226</v>
      </c>
      <c r="G70" s="98">
        <v>1</v>
      </c>
      <c r="H70" s="99">
        <v>12589</v>
      </c>
      <c r="I70" s="74">
        <f t="shared" si="12"/>
        <v>12589</v>
      </c>
      <c r="J70" s="184"/>
      <c r="K70" s="174">
        <f t="shared" si="11"/>
        <v>12589</v>
      </c>
    </row>
    <row r="71" spans="1:11" ht="23.45" customHeight="1" x14ac:dyDescent="0.25">
      <c r="A71" s="33"/>
      <c r="B71" s="96"/>
      <c r="C71" s="96" t="s">
        <v>233</v>
      </c>
      <c r="D71" s="96"/>
      <c r="E71" s="96" t="s">
        <v>234</v>
      </c>
      <c r="F71" s="97" t="s">
        <v>174</v>
      </c>
      <c r="G71" s="98">
        <v>65</v>
      </c>
      <c r="H71" s="99">
        <v>1255.5</v>
      </c>
      <c r="I71" s="74">
        <f t="shared" si="12"/>
        <v>81607.5</v>
      </c>
      <c r="J71" s="184"/>
      <c r="K71" s="174">
        <f t="shared" si="11"/>
        <v>81607.5</v>
      </c>
    </row>
    <row r="72" spans="1:11" ht="23.45" customHeight="1" x14ac:dyDescent="0.25">
      <c r="A72" s="33"/>
      <c r="B72" s="96"/>
      <c r="C72" s="96"/>
      <c r="D72" s="96"/>
      <c r="E72" s="96" t="s">
        <v>235</v>
      </c>
      <c r="F72" s="97" t="s">
        <v>226</v>
      </c>
      <c r="G72" s="98">
        <v>1</v>
      </c>
      <c r="H72" s="99">
        <v>5565</v>
      </c>
      <c r="I72" s="74">
        <f t="shared" si="12"/>
        <v>5565</v>
      </c>
      <c r="J72" s="184"/>
      <c r="K72" s="174">
        <f t="shared" si="11"/>
        <v>5565</v>
      </c>
    </row>
    <row r="73" spans="1:11" ht="23.45" customHeight="1" x14ac:dyDescent="0.25">
      <c r="A73" s="33"/>
      <c r="B73" s="96"/>
      <c r="C73" s="96"/>
      <c r="D73" s="96"/>
      <c r="E73" s="96" t="s">
        <v>236</v>
      </c>
      <c r="F73" s="97" t="s">
        <v>174</v>
      </c>
      <c r="G73" s="98">
        <v>70</v>
      </c>
      <c r="H73" s="99">
        <v>458.5</v>
      </c>
      <c r="I73" s="74">
        <f t="shared" si="12"/>
        <v>32095</v>
      </c>
      <c r="J73" s="184"/>
      <c r="K73" s="174">
        <f t="shared" si="11"/>
        <v>32095</v>
      </c>
    </row>
    <row r="74" spans="1:11" ht="23.45" customHeight="1" x14ac:dyDescent="0.25">
      <c r="A74" s="33"/>
      <c r="B74" s="96"/>
      <c r="C74" s="96"/>
      <c r="D74" s="96"/>
      <c r="E74" s="96" t="s">
        <v>237</v>
      </c>
      <c r="F74" s="97" t="s">
        <v>174</v>
      </c>
      <c r="G74" s="98">
        <v>1</v>
      </c>
      <c r="H74" s="99">
        <v>3565</v>
      </c>
      <c r="I74" s="74">
        <f t="shared" si="12"/>
        <v>3565</v>
      </c>
      <c r="J74" s="184"/>
      <c r="K74" s="174">
        <f t="shared" si="11"/>
        <v>3565</v>
      </c>
    </row>
    <row r="75" spans="1:11" ht="23.45" customHeight="1" x14ac:dyDescent="0.25">
      <c r="A75" s="33"/>
      <c r="B75" s="96"/>
      <c r="C75" s="96" t="s">
        <v>238</v>
      </c>
      <c r="D75" s="96"/>
      <c r="E75" s="96" t="s">
        <v>239</v>
      </c>
      <c r="F75" s="97" t="s">
        <v>231</v>
      </c>
      <c r="G75" s="98">
        <v>1</v>
      </c>
      <c r="H75" s="99">
        <v>5400</v>
      </c>
      <c r="I75" s="74">
        <f t="shared" si="12"/>
        <v>5400</v>
      </c>
      <c r="J75" s="184"/>
      <c r="K75" s="174">
        <f t="shared" si="11"/>
        <v>5400</v>
      </c>
    </row>
    <row r="76" spans="1:11" ht="23.45" customHeight="1" thickBot="1" x14ac:dyDescent="0.3">
      <c r="A76" s="33"/>
      <c r="B76" s="168"/>
      <c r="C76" s="168"/>
      <c r="D76" s="168"/>
      <c r="E76" s="168" t="s">
        <v>240</v>
      </c>
      <c r="F76" s="169" t="s">
        <v>231</v>
      </c>
      <c r="G76" s="170">
        <v>1</v>
      </c>
      <c r="H76" s="171">
        <v>5900</v>
      </c>
      <c r="I76" s="75">
        <f t="shared" si="12"/>
        <v>5900</v>
      </c>
      <c r="J76" s="187"/>
      <c r="K76" s="177">
        <f t="shared" si="11"/>
        <v>5900</v>
      </c>
    </row>
    <row r="77" spans="1:11" ht="23.45" customHeight="1" thickBot="1" x14ac:dyDescent="0.3">
      <c r="A77" s="20" t="s">
        <v>67</v>
      </c>
      <c r="B77" s="27"/>
      <c r="C77" s="28" t="s">
        <v>23</v>
      </c>
      <c r="D77" s="29" t="s">
        <v>241</v>
      </c>
      <c r="E77" s="29" t="s">
        <v>242</v>
      </c>
      <c r="F77" s="30"/>
      <c r="G77" s="30"/>
      <c r="H77" s="30"/>
      <c r="I77" s="31">
        <f>SUM(I78:I82)</f>
        <v>33524.409</v>
      </c>
      <c r="J77" s="31">
        <f>SUM(J78:J82)</f>
        <v>0</v>
      </c>
      <c r="K77" s="32">
        <f>SUM(K78:K82)</f>
        <v>33524.409</v>
      </c>
    </row>
    <row r="78" spans="1:11" ht="23.45" customHeight="1" x14ac:dyDescent="0.25">
      <c r="A78" s="33"/>
      <c r="B78" s="188" t="s">
        <v>243</v>
      </c>
      <c r="C78" s="188" t="s">
        <v>52</v>
      </c>
      <c r="D78" s="189" t="s">
        <v>244</v>
      </c>
      <c r="E78" s="178" t="s">
        <v>245</v>
      </c>
      <c r="F78" s="179" t="s">
        <v>47</v>
      </c>
      <c r="G78" s="180">
        <v>4.2000000000000003E-2</v>
      </c>
      <c r="H78" s="181">
        <v>46856.25</v>
      </c>
      <c r="I78" s="73">
        <f>SUM(K78)</f>
        <v>1967.96</v>
      </c>
      <c r="J78" s="190"/>
      <c r="K78" s="93">
        <f>ROUND(H78*G78,2)</f>
        <v>1967.96</v>
      </c>
    </row>
    <row r="79" spans="1:11" ht="23.45" customHeight="1" x14ac:dyDescent="0.25">
      <c r="A79" s="33"/>
      <c r="B79" s="94" t="s">
        <v>247</v>
      </c>
      <c r="C79" s="94" t="s">
        <v>52</v>
      </c>
      <c r="D79" s="95" t="s">
        <v>248</v>
      </c>
      <c r="E79" s="96" t="s">
        <v>249</v>
      </c>
      <c r="F79" s="97" t="s">
        <v>57</v>
      </c>
      <c r="G79" s="98">
        <v>87.2</v>
      </c>
      <c r="H79" s="99">
        <v>97.28</v>
      </c>
      <c r="I79" s="74">
        <f t="shared" ref="I79:I82" si="13">SUM(K79)</f>
        <v>8482.8160000000007</v>
      </c>
      <c r="J79" s="109"/>
      <c r="K79" s="101">
        <f>SUM(G79*H79)</f>
        <v>8482.8160000000007</v>
      </c>
    </row>
    <row r="80" spans="1:11" ht="23.45" customHeight="1" x14ac:dyDescent="0.25">
      <c r="A80" s="33"/>
      <c r="B80" s="94" t="s">
        <v>251</v>
      </c>
      <c r="C80" s="94" t="s">
        <v>52</v>
      </c>
      <c r="D80" s="95" t="s">
        <v>252</v>
      </c>
      <c r="E80" s="96" t="s">
        <v>253</v>
      </c>
      <c r="F80" s="97" t="s">
        <v>57</v>
      </c>
      <c r="G80" s="98">
        <v>54.5</v>
      </c>
      <c r="H80" s="99">
        <v>189.21</v>
      </c>
      <c r="I80" s="74">
        <f t="shared" si="13"/>
        <v>10311.945</v>
      </c>
      <c r="J80" s="109"/>
      <c r="K80" s="101">
        <f>SUM(G80*H80)</f>
        <v>10311.945</v>
      </c>
    </row>
    <row r="81" spans="1:11" ht="23.45" customHeight="1" x14ac:dyDescent="0.25">
      <c r="A81" s="33"/>
      <c r="B81" s="94" t="s">
        <v>255</v>
      </c>
      <c r="C81" s="94" t="s">
        <v>52</v>
      </c>
      <c r="D81" s="95" t="s">
        <v>256</v>
      </c>
      <c r="E81" s="96" t="s">
        <v>257</v>
      </c>
      <c r="F81" s="97" t="s">
        <v>57</v>
      </c>
      <c r="G81" s="98">
        <v>60</v>
      </c>
      <c r="H81" s="99">
        <v>29.6</v>
      </c>
      <c r="I81" s="74">
        <f t="shared" si="13"/>
        <v>1776</v>
      </c>
      <c r="J81" s="109"/>
      <c r="K81" s="101">
        <f>SUM(G81*H81)</f>
        <v>1776</v>
      </c>
    </row>
    <row r="82" spans="1:11" ht="23.45" customHeight="1" thickBot="1" x14ac:dyDescent="0.3">
      <c r="A82" s="33"/>
      <c r="B82" s="166" t="s">
        <v>258</v>
      </c>
      <c r="C82" s="166" t="s">
        <v>52</v>
      </c>
      <c r="D82" s="167" t="s">
        <v>259</v>
      </c>
      <c r="E82" s="168" t="s">
        <v>260</v>
      </c>
      <c r="F82" s="169" t="s">
        <v>57</v>
      </c>
      <c r="G82" s="170">
        <v>12.78</v>
      </c>
      <c r="H82" s="171">
        <v>859.6</v>
      </c>
      <c r="I82" s="75">
        <f t="shared" si="13"/>
        <v>10985.688</v>
      </c>
      <c r="J82" s="124"/>
      <c r="K82" s="125">
        <f>SUM(G82*H82)</f>
        <v>10985.688</v>
      </c>
    </row>
    <row r="83" spans="1:11" ht="23.45" customHeight="1" thickBot="1" x14ac:dyDescent="0.3">
      <c r="A83" s="20" t="s">
        <v>67</v>
      </c>
      <c r="B83" s="27"/>
      <c r="C83" s="28" t="s">
        <v>23</v>
      </c>
      <c r="D83" s="29" t="s">
        <v>262</v>
      </c>
      <c r="E83" s="29" t="s">
        <v>263</v>
      </c>
      <c r="F83" s="30"/>
      <c r="G83" s="30"/>
      <c r="H83" s="30"/>
      <c r="I83" s="31">
        <f>SUM(I84)</f>
        <v>0</v>
      </c>
      <c r="J83" s="31">
        <f>SUM(J84)</f>
        <v>-2746.7798400000001</v>
      </c>
      <c r="K83" s="32">
        <f>SUM(K84)</f>
        <v>-2746.7798400000001</v>
      </c>
    </row>
    <row r="84" spans="1:11" ht="23.45" customHeight="1" thickBot="1" x14ac:dyDescent="0.3">
      <c r="A84" s="33"/>
      <c r="B84" s="192" t="s">
        <v>264</v>
      </c>
      <c r="C84" s="192" t="s">
        <v>52</v>
      </c>
      <c r="D84" s="193" t="s">
        <v>265</v>
      </c>
      <c r="E84" s="194" t="s">
        <v>266</v>
      </c>
      <c r="F84" s="195" t="s">
        <v>57</v>
      </c>
      <c r="G84" s="196">
        <v>-35.783999999999999</v>
      </c>
      <c r="H84" s="197">
        <v>76.760000000000005</v>
      </c>
      <c r="I84" s="198"/>
      <c r="J84" s="152">
        <f>SUM(K84)</f>
        <v>-2746.7798400000001</v>
      </c>
      <c r="K84" s="153">
        <f>SUM(G84*H84)</f>
        <v>-2746.7798400000001</v>
      </c>
    </row>
    <row r="85" spans="1:11" ht="23.45" customHeight="1" thickBot="1" x14ac:dyDescent="0.3">
      <c r="A85" s="20" t="s">
        <v>67</v>
      </c>
      <c r="B85" s="27"/>
      <c r="C85" s="28" t="s">
        <v>23</v>
      </c>
      <c r="D85" s="29" t="s">
        <v>268</v>
      </c>
      <c r="E85" s="29" t="s">
        <v>269</v>
      </c>
      <c r="F85" s="30"/>
      <c r="G85" s="30"/>
      <c r="H85" s="30"/>
      <c r="I85" s="31">
        <f>SUM(I86:I87)</f>
        <v>0</v>
      </c>
      <c r="J85" s="31">
        <f>SUM(J86:J87)</f>
        <v>-4560.68</v>
      </c>
      <c r="K85" s="32">
        <f>SUM(K86:K87)</f>
        <v>-4560.68</v>
      </c>
    </row>
    <row r="86" spans="1:11" ht="23.45" customHeight="1" x14ac:dyDescent="0.25">
      <c r="A86" s="33"/>
      <c r="B86" s="126" t="s">
        <v>270</v>
      </c>
      <c r="C86" s="126" t="s">
        <v>52</v>
      </c>
      <c r="D86" s="127" t="s">
        <v>271</v>
      </c>
      <c r="E86" s="128" t="s">
        <v>272</v>
      </c>
      <c r="F86" s="129" t="s">
        <v>196</v>
      </c>
      <c r="G86" s="130">
        <v>-1</v>
      </c>
      <c r="H86" s="131">
        <v>4046.6</v>
      </c>
      <c r="I86" s="91"/>
      <c r="J86" s="92">
        <f>SUM(K86)</f>
        <v>-4046.6</v>
      </c>
      <c r="K86" s="132">
        <f>SUM(G86*H86)</f>
        <v>-4046.6</v>
      </c>
    </row>
    <row r="87" spans="1:11" ht="23.45" customHeight="1" thickBot="1" x14ac:dyDescent="0.3">
      <c r="A87" s="33"/>
      <c r="B87" s="154" t="s">
        <v>274</v>
      </c>
      <c r="C87" s="154" t="s">
        <v>52</v>
      </c>
      <c r="D87" s="155" t="s">
        <v>275</v>
      </c>
      <c r="E87" s="156" t="s">
        <v>276</v>
      </c>
      <c r="F87" s="157" t="s">
        <v>196</v>
      </c>
      <c r="G87" s="158">
        <v>-1</v>
      </c>
      <c r="H87" s="159">
        <v>514.08000000000004</v>
      </c>
      <c r="I87" s="123"/>
      <c r="J87" s="124">
        <f>SUM(K87)</f>
        <v>-514.08000000000004</v>
      </c>
      <c r="K87" s="153">
        <f>SUM(G87*H87)</f>
        <v>-514.08000000000004</v>
      </c>
    </row>
    <row r="88" spans="1:11" ht="23.45" customHeight="1" thickBot="1" x14ac:dyDescent="0.3">
      <c r="A88" s="20" t="s">
        <v>67</v>
      </c>
      <c r="B88" s="27"/>
      <c r="C88" s="28" t="s">
        <v>23</v>
      </c>
      <c r="D88" s="29" t="s">
        <v>277</v>
      </c>
      <c r="E88" s="29" t="s">
        <v>278</v>
      </c>
      <c r="F88" s="30"/>
      <c r="G88" s="30"/>
      <c r="H88" s="30"/>
      <c r="I88" s="31">
        <f>SUM(I89:I90)</f>
        <v>0</v>
      </c>
      <c r="J88" s="31">
        <f>SUM(J89:J90)</f>
        <v>-7517.4400000000005</v>
      </c>
      <c r="K88" s="32">
        <f>SUM(K89:K90)</f>
        <v>-7517.4400000000005</v>
      </c>
    </row>
    <row r="89" spans="1:11" ht="23.45" customHeight="1" x14ac:dyDescent="0.25">
      <c r="A89" s="33"/>
      <c r="B89" s="126" t="s">
        <v>279</v>
      </c>
      <c r="C89" s="126" t="s">
        <v>52</v>
      </c>
      <c r="D89" s="127" t="s">
        <v>280</v>
      </c>
      <c r="E89" s="128" t="s">
        <v>281</v>
      </c>
      <c r="F89" s="129" t="s">
        <v>57</v>
      </c>
      <c r="G89" s="130">
        <v>-56</v>
      </c>
      <c r="H89" s="131">
        <v>105.32</v>
      </c>
      <c r="I89" s="91"/>
      <c r="J89" s="92">
        <f>SUM(K89)</f>
        <v>-5897.92</v>
      </c>
      <c r="K89" s="132">
        <f>SUM(G89*H89)</f>
        <v>-5897.92</v>
      </c>
    </row>
    <row r="90" spans="1:11" ht="23.45" customHeight="1" thickBot="1" x14ac:dyDescent="0.3">
      <c r="A90" s="33"/>
      <c r="B90" s="154" t="s">
        <v>282</v>
      </c>
      <c r="C90" s="154" t="s">
        <v>52</v>
      </c>
      <c r="D90" s="155" t="s">
        <v>283</v>
      </c>
      <c r="E90" s="156" t="s">
        <v>284</v>
      </c>
      <c r="F90" s="157" t="s">
        <v>57</v>
      </c>
      <c r="G90" s="158">
        <v>-56</v>
      </c>
      <c r="H90" s="159">
        <v>28.92</v>
      </c>
      <c r="I90" s="123"/>
      <c r="J90" s="124">
        <f>SUM(K90)</f>
        <v>-1619.52</v>
      </c>
      <c r="K90" s="125">
        <f>SUM(G90*H90)</f>
        <v>-1619.52</v>
      </c>
    </row>
    <row r="91" spans="1:11" ht="23.45" customHeight="1" thickBot="1" x14ac:dyDescent="0.3">
      <c r="A91" s="20" t="s">
        <v>67</v>
      </c>
      <c r="B91" s="27"/>
      <c r="C91" s="28" t="s">
        <v>23</v>
      </c>
      <c r="D91" s="29" t="s">
        <v>285</v>
      </c>
      <c r="E91" s="29" t="s">
        <v>286</v>
      </c>
      <c r="F91" s="30"/>
      <c r="G91" s="30"/>
      <c r="H91" s="30"/>
      <c r="I91" s="31">
        <f>SUM(I92)</f>
        <v>-15524.34</v>
      </c>
      <c r="J91" s="31">
        <f>SUM(J92)</f>
        <v>0</v>
      </c>
      <c r="K91" s="32">
        <f>SUM(K92)</f>
        <v>-15524.34</v>
      </c>
    </row>
    <row r="92" spans="1:11" ht="23.45" customHeight="1" thickBot="1" x14ac:dyDescent="0.3">
      <c r="A92" s="33"/>
      <c r="B92" s="199" t="s">
        <v>287</v>
      </c>
      <c r="C92" s="200" t="s">
        <v>52</v>
      </c>
      <c r="D92" s="201" t="s">
        <v>288</v>
      </c>
      <c r="E92" s="202" t="s">
        <v>289</v>
      </c>
      <c r="F92" s="203" t="s">
        <v>174</v>
      </c>
      <c r="G92" s="204">
        <v>-78</v>
      </c>
      <c r="H92" s="205">
        <v>199.03</v>
      </c>
      <c r="I92" s="198">
        <f t="shared" ref="I92" si="14">ROUND(H92*G92,2)</f>
        <v>-15524.34</v>
      </c>
      <c r="J92" s="152"/>
      <c r="K92" s="153">
        <f>SUM(G92*H92)</f>
        <v>-15524.34</v>
      </c>
    </row>
    <row r="93" spans="1:11" ht="23.45" customHeight="1" thickBot="1" x14ac:dyDescent="0.3">
      <c r="A93" s="20" t="s">
        <v>67</v>
      </c>
      <c r="B93" s="27"/>
      <c r="C93" s="28" t="s">
        <v>23</v>
      </c>
      <c r="D93" s="29" t="s">
        <v>291</v>
      </c>
      <c r="E93" s="29" t="s">
        <v>292</v>
      </c>
      <c r="F93" s="30"/>
      <c r="G93" s="30"/>
      <c r="H93" s="30"/>
      <c r="I93" s="31">
        <f>SUM(I94:I97)</f>
        <v>4825.5999999999995</v>
      </c>
      <c r="J93" s="31">
        <f>SUM(J94:J97)</f>
        <v>-6336.105599999999</v>
      </c>
      <c r="K93" s="32">
        <f>SUM(K94:K97)</f>
        <v>-1510.5056</v>
      </c>
    </row>
    <row r="94" spans="1:11" ht="23.45" customHeight="1" x14ac:dyDescent="0.25">
      <c r="A94" s="33"/>
      <c r="B94" s="206" t="s">
        <v>293</v>
      </c>
      <c r="C94" s="206" t="s">
        <v>52</v>
      </c>
      <c r="D94" s="207" t="s">
        <v>294</v>
      </c>
      <c r="E94" s="208" t="s">
        <v>295</v>
      </c>
      <c r="F94" s="209" t="s">
        <v>57</v>
      </c>
      <c r="G94" s="210">
        <v>-9.2799999999999994</v>
      </c>
      <c r="H94" s="211">
        <v>483.74</v>
      </c>
      <c r="I94" s="91"/>
      <c r="J94" s="92">
        <f>SUM(K94)</f>
        <v>-4489.1071999999995</v>
      </c>
      <c r="K94" s="132">
        <f>SUM(G94*H94)</f>
        <v>-4489.1071999999995</v>
      </c>
    </row>
    <row r="95" spans="1:11" ht="23.45" customHeight="1" x14ac:dyDescent="0.25">
      <c r="A95" s="33"/>
      <c r="B95" s="133" t="s">
        <v>297</v>
      </c>
      <c r="C95" s="133"/>
      <c r="D95" s="134"/>
      <c r="E95" s="135" t="s">
        <v>298</v>
      </c>
      <c r="F95" s="136" t="s">
        <v>57</v>
      </c>
      <c r="G95" s="137">
        <v>9.2799999999999994</v>
      </c>
      <c r="H95" s="138">
        <v>400</v>
      </c>
      <c r="I95" s="74">
        <f>SUM(K95)</f>
        <v>3711.9999999999995</v>
      </c>
      <c r="J95" s="109"/>
      <c r="K95" s="101">
        <f>SUM(G95*H95)</f>
        <v>3711.9999999999995</v>
      </c>
    </row>
    <row r="96" spans="1:11" ht="23.45" customHeight="1" x14ac:dyDescent="0.25">
      <c r="A96" s="33"/>
      <c r="B96" s="133" t="s">
        <v>299</v>
      </c>
      <c r="C96" s="133" t="s">
        <v>52</v>
      </c>
      <c r="D96" s="134" t="s">
        <v>300</v>
      </c>
      <c r="E96" s="135" t="s">
        <v>301</v>
      </c>
      <c r="F96" s="136" t="s">
        <v>57</v>
      </c>
      <c r="G96" s="137">
        <v>-9.2799999999999994</v>
      </c>
      <c r="H96" s="138">
        <v>199.03</v>
      </c>
      <c r="I96" s="108"/>
      <c r="J96" s="109">
        <f>SUM(K96)</f>
        <v>-1846.9983999999999</v>
      </c>
      <c r="K96" s="101">
        <f>SUM(G96*H96)</f>
        <v>-1846.9983999999999</v>
      </c>
    </row>
    <row r="97" spans="1:11" ht="23.45" customHeight="1" thickBot="1" x14ac:dyDescent="0.3">
      <c r="A97" s="33"/>
      <c r="B97" s="139" t="s">
        <v>302</v>
      </c>
      <c r="C97" s="139"/>
      <c r="D97" s="140"/>
      <c r="E97" s="141" t="s">
        <v>303</v>
      </c>
      <c r="F97" s="142" t="s">
        <v>57</v>
      </c>
      <c r="G97" s="143">
        <v>9.2799999999999994</v>
      </c>
      <c r="H97" s="144">
        <v>120</v>
      </c>
      <c r="I97" s="75">
        <f>SUM(K97)</f>
        <v>1113.5999999999999</v>
      </c>
      <c r="J97" s="124"/>
      <c r="K97" s="125">
        <f>SUM(G97*H97)</f>
        <v>1113.5999999999999</v>
      </c>
    </row>
    <row r="98" spans="1:11" ht="23.45" customHeight="1" thickBot="1" x14ac:dyDescent="0.3">
      <c r="A98" s="20" t="s">
        <v>67</v>
      </c>
      <c r="B98" s="27"/>
      <c r="C98" s="28" t="s">
        <v>23</v>
      </c>
      <c r="D98" s="29" t="s">
        <v>304</v>
      </c>
      <c r="E98" s="29" t="s">
        <v>305</v>
      </c>
      <c r="F98" s="30"/>
      <c r="G98" s="30"/>
      <c r="H98" s="30"/>
      <c r="I98" s="31">
        <f>SUM(I101:I104)</f>
        <v>62654.76</v>
      </c>
      <c r="J98" s="31">
        <f>SUM(J99:J104)</f>
        <v>-24816.552</v>
      </c>
      <c r="K98" s="32">
        <f>SUM(K99:K104)</f>
        <v>37838.207999999999</v>
      </c>
    </row>
    <row r="99" spans="1:11" ht="23.45" customHeight="1" x14ac:dyDescent="0.25">
      <c r="A99" s="20"/>
      <c r="B99" s="212" t="s">
        <v>306</v>
      </c>
      <c r="C99" s="212"/>
      <c r="D99" s="213"/>
      <c r="E99" s="214" t="s">
        <v>307</v>
      </c>
      <c r="F99" s="215" t="s">
        <v>196</v>
      </c>
      <c r="G99" s="216">
        <v>-1</v>
      </c>
      <c r="H99" s="217">
        <v>20170.5</v>
      </c>
      <c r="I99" s="101"/>
      <c r="J99" s="101">
        <v>-20170.5</v>
      </c>
      <c r="K99" s="101">
        <f t="shared" ref="K99:K104" si="15">SUM(G99*H99)</f>
        <v>-20170.5</v>
      </c>
    </row>
    <row r="100" spans="1:11" ht="23.45" customHeight="1" x14ac:dyDescent="0.25">
      <c r="A100" s="20"/>
      <c r="B100" s="212" t="s">
        <v>309</v>
      </c>
      <c r="C100" s="212"/>
      <c r="D100" s="213"/>
      <c r="E100" s="214" t="s">
        <v>310</v>
      </c>
      <c r="F100" s="215" t="s">
        <v>57</v>
      </c>
      <c r="G100" s="216">
        <v>-10.8</v>
      </c>
      <c r="H100" s="217">
        <v>430.19</v>
      </c>
      <c r="I100" s="101"/>
      <c r="J100" s="101">
        <v>-4646.0520000000006</v>
      </c>
      <c r="K100" s="101">
        <f t="shared" si="15"/>
        <v>-4646.0520000000006</v>
      </c>
    </row>
    <row r="101" spans="1:11" ht="23.45" customHeight="1" x14ac:dyDescent="0.25">
      <c r="A101" s="33"/>
      <c r="B101" s="206" t="s">
        <v>311</v>
      </c>
      <c r="C101" s="206"/>
      <c r="D101" s="207"/>
      <c r="E101" s="208" t="s">
        <v>312</v>
      </c>
      <c r="F101" s="209" t="s">
        <v>196</v>
      </c>
      <c r="G101" s="210">
        <v>1</v>
      </c>
      <c r="H101" s="211">
        <v>45000</v>
      </c>
      <c r="I101" s="73">
        <f>SUM(K101)</f>
        <v>45000</v>
      </c>
      <c r="J101" s="92">
        <v>0</v>
      </c>
      <c r="K101" s="132">
        <f t="shared" si="15"/>
        <v>45000</v>
      </c>
    </row>
    <row r="102" spans="1:11" ht="23.45" customHeight="1" x14ac:dyDescent="0.25">
      <c r="A102" s="33"/>
      <c r="B102" s="133" t="s">
        <v>314</v>
      </c>
      <c r="C102" s="133"/>
      <c r="D102" s="134"/>
      <c r="E102" s="135" t="s">
        <v>315</v>
      </c>
      <c r="F102" s="136" t="s">
        <v>196</v>
      </c>
      <c r="G102" s="137">
        <v>1</v>
      </c>
      <c r="H102" s="138">
        <v>9103.5</v>
      </c>
      <c r="I102" s="73">
        <f t="shared" ref="I102:I104" si="16">SUM(K102)</f>
        <v>9103.5</v>
      </c>
      <c r="J102" s="92">
        <v>0</v>
      </c>
      <c r="K102" s="101">
        <f t="shared" si="15"/>
        <v>9103.5</v>
      </c>
    </row>
    <row r="103" spans="1:11" ht="23.45" customHeight="1" x14ac:dyDescent="0.25">
      <c r="A103" s="33"/>
      <c r="B103" s="133" t="s">
        <v>316</v>
      </c>
      <c r="C103" s="133"/>
      <c r="D103" s="134"/>
      <c r="E103" s="135" t="s">
        <v>317</v>
      </c>
      <c r="F103" s="136" t="s">
        <v>38</v>
      </c>
      <c r="G103" s="137">
        <v>1.08</v>
      </c>
      <c r="H103" s="138">
        <v>6589.5</v>
      </c>
      <c r="I103" s="73">
        <f t="shared" si="16"/>
        <v>7116.6600000000008</v>
      </c>
      <c r="J103" s="92">
        <v>0</v>
      </c>
      <c r="K103" s="101">
        <f t="shared" si="15"/>
        <v>7116.6600000000008</v>
      </c>
    </row>
    <row r="104" spans="1:11" ht="23.45" customHeight="1" thickBot="1" x14ac:dyDescent="0.3">
      <c r="A104" s="33"/>
      <c r="B104" s="139" t="s">
        <v>319</v>
      </c>
      <c r="C104" s="139"/>
      <c r="D104" s="140"/>
      <c r="E104" s="141" t="s">
        <v>320</v>
      </c>
      <c r="F104" s="142" t="s">
        <v>57</v>
      </c>
      <c r="G104" s="143">
        <v>3.6</v>
      </c>
      <c r="H104" s="144">
        <v>398.5</v>
      </c>
      <c r="I104" s="73">
        <f t="shared" si="16"/>
        <v>1434.6000000000001</v>
      </c>
      <c r="J104" s="152">
        <v>0</v>
      </c>
      <c r="K104" s="125">
        <f t="shared" si="15"/>
        <v>1434.6000000000001</v>
      </c>
    </row>
    <row r="105" spans="1:11" ht="23.45" customHeight="1" thickBot="1" x14ac:dyDescent="0.3">
      <c r="A105" s="20" t="s">
        <v>67</v>
      </c>
      <c r="B105" s="27"/>
      <c r="C105" s="28" t="s">
        <v>23</v>
      </c>
      <c r="D105" s="29" t="s">
        <v>321</v>
      </c>
      <c r="E105" s="29" t="s">
        <v>322</v>
      </c>
      <c r="F105" s="30"/>
      <c r="G105" s="30"/>
      <c r="H105" s="30"/>
      <c r="I105" s="31">
        <f>SUM(I106:I113)</f>
        <v>23283.96</v>
      </c>
      <c r="J105" s="31">
        <f>SUM(J106:J113)</f>
        <v>-27578.786460000007</v>
      </c>
      <c r="K105" s="32">
        <f>SUM(J105+I105)</f>
        <v>-4294.8264600000075</v>
      </c>
    </row>
    <row r="106" spans="1:11" ht="23.45" customHeight="1" x14ac:dyDescent="0.25">
      <c r="A106" s="33"/>
      <c r="B106" s="126" t="s">
        <v>323</v>
      </c>
      <c r="C106" s="126" t="s">
        <v>52</v>
      </c>
      <c r="D106" s="127" t="s">
        <v>324</v>
      </c>
      <c r="E106" s="128" t="s">
        <v>325</v>
      </c>
      <c r="F106" s="129" t="s">
        <v>57</v>
      </c>
      <c r="G106" s="130">
        <v>-32.630000000000003</v>
      </c>
      <c r="H106" s="131">
        <v>323.98</v>
      </c>
      <c r="I106" s="91"/>
      <c r="J106" s="92">
        <f>SUM(K106)</f>
        <v>-10571.467400000001</v>
      </c>
      <c r="K106" s="132">
        <f>SUM(G106*H106)</f>
        <v>-10571.467400000001</v>
      </c>
    </row>
    <row r="107" spans="1:11" ht="23.45" customHeight="1" x14ac:dyDescent="0.25">
      <c r="A107" s="33"/>
      <c r="B107" s="110" t="s">
        <v>327</v>
      </c>
      <c r="C107" s="110" t="s">
        <v>52</v>
      </c>
      <c r="D107" s="111" t="s">
        <v>328</v>
      </c>
      <c r="E107" s="112" t="s">
        <v>329</v>
      </c>
      <c r="F107" s="113" t="s">
        <v>57</v>
      </c>
      <c r="G107" s="114">
        <v>-29.664000000000001</v>
      </c>
      <c r="H107" s="115">
        <v>394.49</v>
      </c>
      <c r="I107" s="108"/>
      <c r="J107" s="109">
        <f t="shared" ref="J107:J108" si="17">SUM(K107)</f>
        <v>-11702.151360000002</v>
      </c>
      <c r="K107" s="101">
        <f>SUM(G107*H107)</f>
        <v>-11702.151360000002</v>
      </c>
    </row>
    <row r="108" spans="1:11" ht="23.45" customHeight="1" x14ac:dyDescent="0.25">
      <c r="A108" s="33"/>
      <c r="B108" s="110" t="s">
        <v>330</v>
      </c>
      <c r="C108" s="110" t="s">
        <v>52</v>
      </c>
      <c r="D108" s="111" t="s">
        <v>331</v>
      </c>
      <c r="E108" s="112" t="s">
        <v>332</v>
      </c>
      <c r="F108" s="113" t="s">
        <v>57</v>
      </c>
      <c r="G108" s="114">
        <v>-29.664000000000001</v>
      </c>
      <c r="H108" s="115">
        <v>178.5</v>
      </c>
      <c r="I108" s="108"/>
      <c r="J108" s="109">
        <f t="shared" si="17"/>
        <v>-5295.0240000000003</v>
      </c>
      <c r="K108" s="101">
        <f>SUM(G108*H108)</f>
        <v>-5295.0240000000003</v>
      </c>
    </row>
    <row r="109" spans="1:11" ht="23.45" customHeight="1" x14ac:dyDescent="0.25">
      <c r="A109" s="33"/>
      <c r="B109" s="133" t="s">
        <v>333</v>
      </c>
      <c r="C109" s="133"/>
      <c r="D109" s="134" t="s">
        <v>334</v>
      </c>
      <c r="E109" s="135" t="s">
        <v>335</v>
      </c>
      <c r="F109" s="136" t="s">
        <v>57</v>
      </c>
      <c r="G109" s="137">
        <v>4.5599999999999996</v>
      </c>
      <c r="H109" s="138">
        <v>350</v>
      </c>
      <c r="I109" s="74">
        <f>SUM(K109)</f>
        <v>1595.9999999999998</v>
      </c>
      <c r="J109" s="109"/>
      <c r="K109" s="101">
        <f t="shared" ref="K109:K112" si="18">SUM(G109*H109)</f>
        <v>1595.9999999999998</v>
      </c>
    </row>
    <row r="110" spans="1:11" ht="23.45" customHeight="1" x14ac:dyDescent="0.25">
      <c r="A110" s="33"/>
      <c r="B110" s="133" t="s">
        <v>337</v>
      </c>
      <c r="C110" s="133"/>
      <c r="D110" s="134" t="s">
        <v>334</v>
      </c>
      <c r="E110" s="135" t="s">
        <v>338</v>
      </c>
      <c r="F110" s="136" t="s">
        <v>57</v>
      </c>
      <c r="G110" s="137">
        <v>4.5599999999999996</v>
      </c>
      <c r="H110" s="138">
        <v>578.5</v>
      </c>
      <c r="I110" s="74">
        <f t="shared" ref="I110:I112" si="19">SUM(K110)</f>
        <v>2637.9599999999996</v>
      </c>
      <c r="J110" s="109"/>
      <c r="K110" s="101">
        <f t="shared" si="18"/>
        <v>2637.9599999999996</v>
      </c>
    </row>
    <row r="111" spans="1:11" ht="23.45" customHeight="1" x14ac:dyDescent="0.25">
      <c r="A111" s="33"/>
      <c r="B111" s="133" t="s">
        <v>339</v>
      </c>
      <c r="C111" s="133"/>
      <c r="D111" s="134" t="s">
        <v>340</v>
      </c>
      <c r="E111" s="135" t="s">
        <v>341</v>
      </c>
      <c r="F111" s="136" t="s">
        <v>226</v>
      </c>
      <c r="G111" s="137">
        <v>1</v>
      </c>
      <c r="H111" s="138">
        <v>1050</v>
      </c>
      <c r="I111" s="74">
        <f t="shared" si="19"/>
        <v>1050</v>
      </c>
      <c r="J111" s="109"/>
      <c r="K111" s="101">
        <f t="shared" si="18"/>
        <v>1050</v>
      </c>
    </row>
    <row r="112" spans="1:11" ht="23.45" customHeight="1" x14ac:dyDescent="0.25">
      <c r="A112" s="33"/>
      <c r="B112" s="133" t="s">
        <v>342</v>
      </c>
      <c r="C112" s="133"/>
      <c r="D112" s="134" t="s">
        <v>343</v>
      </c>
      <c r="E112" s="135" t="s">
        <v>344</v>
      </c>
      <c r="F112" s="136" t="s">
        <v>65</v>
      </c>
      <c r="G112" s="137">
        <v>7.5</v>
      </c>
      <c r="H112" s="138">
        <v>2400</v>
      </c>
      <c r="I112" s="74">
        <f t="shared" si="19"/>
        <v>18000</v>
      </c>
      <c r="J112" s="109"/>
      <c r="K112" s="101">
        <f t="shared" si="18"/>
        <v>18000</v>
      </c>
    </row>
    <row r="113" spans="1:11" ht="23.45" customHeight="1" x14ac:dyDescent="0.25">
      <c r="A113" s="33"/>
      <c r="B113" s="154" t="s">
        <v>346</v>
      </c>
      <c r="C113" s="154" t="s">
        <v>52</v>
      </c>
      <c r="D113" s="155" t="s">
        <v>347</v>
      </c>
      <c r="E113" s="156" t="s">
        <v>348</v>
      </c>
      <c r="F113" s="157" t="s">
        <v>349</v>
      </c>
      <c r="G113" s="158">
        <v>-3.37</v>
      </c>
      <c r="H113" s="159">
        <v>3.01</v>
      </c>
      <c r="I113" s="123"/>
      <c r="J113" s="124">
        <f>SUM(K113)</f>
        <v>-10.143699999999999</v>
      </c>
      <c r="K113" s="177">
        <f>SUM(G113*H113)</f>
        <v>-10.143699999999999</v>
      </c>
    </row>
    <row r="114" spans="1:11" ht="23.45" customHeight="1" thickBot="1" x14ac:dyDescent="0.3">
      <c r="A114" s="20"/>
      <c r="B114" s="286"/>
      <c r="C114" s="287" t="s">
        <v>23</v>
      </c>
      <c r="D114" s="288" t="s">
        <v>438</v>
      </c>
      <c r="E114" s="288" t="s">
        <v>487</v>
      </c>
      <c r="F114" s="286"/>
      <c r="G114" s="286"/>
      <c r="H114" s="286"/>
      <c r="I114" s="289"/>
      <c r="J114" s="289"/>
      <c r="K114" s="289"/>
    </row>
    <row r="115" spans="1:11" ht="23.45" customHeight="1" thickBot="1" x14ac:dyDescent="0.3">
      <c r="A115" s="305" t="s">
        <v>67</v>
      </c>
      <c r="B115" s="235"/>
      <c r="C115" s="236" t="s">
        <v>23</v>
      </c>
      <c r="D115" s="290" t="s">
        <v>358</v>
      </c>
      <c r="E115" s="290" t="s">
        <v>359</v>
      </c>
      <c r="F115" s="238"/>
      <c r="G115" s="238"/>
      <c r="H115" s="239"/>
      <c r="I115" s="31">
        <f>SUM(I116:I122)</f>
        <v>9228.3752999999997</v>
      </c>
      <c r="J115" s="31">
        <f>SUM(J116:J122)</f>
        <v>0</v>
      </c>
      <c r="K115" s="32">
        <f>SUM(K116:K122)</f>
        <v>9228.3752999999997</v>
      </c>
    </row>
    <row r="116" spans="1:11" ht="23.45" customHeight="1" x14ac:dyDescent="0.25">
      <c r="A116" s="33"/>
      <c r="B116" s="44" t="s">
        <v>488</v>
      </c>
      <c r="C116" s="44"/>
      <c r="D116" s="45"/>
      <c r="E116" s="46" t="s">
        <v>489</v>
      </c>
      <c r="F116" s="47" t="s">
        <v>38</v>
      </c>
      <c r="G116" s="48">
        <f>SUM(28*0.8*0.5)</f>
        <v>11.200000000000001</v>
      </c>
      <c r="H116" s="49">
        <v>379.31</v>
      </c>
      <c r="I116" s="307">
        <f>SUM(K116)</f>
        <v>4248.2720000000008</v>
      </c>
      <c r="J116" s="308"/>
      <c r="K116" s="309">
        <f t="shared" ref="K116:K122" si="20">SUM(G116*H116)</f>
        <v>4248.2720000000008</v>
      </c>
    </row>
    <row r="117" spans="1:11" ht="23.45" customHeight="1" x14ac:dyDescent="0.25">
      <c r="A117" s="33"/>
      <c r="B117" s="52" t="s">
        <v>491</v>
      </c>
      <c r="C117" s="52"/>
      <c r="D117" s="53"/>
      <c r="E117" s="54" t="s">
        <v>492</v>
      </c>
      <c r="F117" s="55" t="s">
        <v>38</v>
      </c>
      <c r="G117" s="56">
        <v>2.58</v>
      </c>
      <c r="H117" s="57">
        <v>169.58</v>
      </c>
      <c r="I117" s="310">
        <f t="shared" ref="I117:I122" si="21">SUM(K117)</f>
        <v>437.51640000000003</v>
      </c>
      <c r="J117" s="311"/>
      <c r="K117" s="312">
        <f t="shared" si="20"/>
        <v>437.51640000000003</v>
      </c>
    </row>
    <row r="118" spans="1:11" ht="23.45" customHeight="1" x14ac:dyDescent="0.25">
      <c r="A118" s="33"/>
      <c r="B118" s="52" t="s">
        <v>493</v>
      </c>
      <c r="C118" s="52" t="s">
        <v>52</v>
      </c>
      <c r="D118" s="53" t="s">
        <v>494</v>
      </c>
      <c r="E118" s="54" t="s">
        <v>495</v>
      </c>
      <c r="F118" s="55" t="s">
        <v>38</v>
      </c>
      <c r="G118" s="56">
        <v>8.620000000000001</v>
      </c>
      <c r="H118" s="57">
        <v>84.79</v>
      </c>
      <c r="I118" s="310">
        <f t="shared" si="21"/>
        <v>730.88980000000015</v>
      </c>
      <c r="J118" s="311"/>
      <c r="K118" s="312">
        <f t="shared" si="20"/>
        <v>730.88980000000015</v>
      </c>
    </row>
    <row r="119" spans="1:11" ht="23.45" customHeight="1" x14ac:dyDescent="0.25">
      <c r="A119" s="33"/>
      <c r="B119" s="52" t="s">
        <v>36</v>
      </c>
      <c r="C119" s="52" t="s">
        <v>52</v>
      </c>
      <c r="D119" s="53" t="s">
        <v>496</v>
      </c>
      <c r="E119" s="54" t="s">
        <v>497</v>
      </c>
      <c r="F119" s="55" t="s">
        <v>38</v>
      </c>
      <c r="G119" s="56">
        <v>2.04</v>
      </c>
      <c r="H119" s="57">
        <v>358.79</v>
      </c>
      <c r="I119" s="310">
        <f t="shared" si="21"/>
        <v>731.9316</v>
      </c>
      <c r="J119" s="311"/>
      <c r="K119" s="312">
        <f t="shared" si="20"/>
        <v>731.9316</v>
      </c>
    </row>
    <row r="120" spans="1:11" ht="23.45" customHeight="1" x14ac:dyDescent="0.25">
      <c r="A120" s="33"/>
      <c r="B120" s="264" t="s">
        <v>40</v>
      </c>
      <c r="C120" s="264" t="s">
        <v>412</v>
      </c>
      <c r="D120" s="265" t="s">
        <v>498</v>
      </c>
      <c r="E120" s="266" t="s">
        <v>499</v>
      </c>
      <c r="F120" s="267" t="s">
        <v>47</v>
      </c>
      <c r="G120" s="268">
        <v>4.2</v>
      </c>
      <c r="H120" s="269">
        <v>381.99</v>
      </c>
      <c r="I120" s="310">
        <f t="shared" si="21"/>
        <v>1604.3580000000002</v>
      </c>
      <c r="J120" s="311"/>
      <c r="K120" s="312">
        <f t="shared" si="20"/>
        <v>1604.3580000000002</v>
      </c>
    </row>
    <row r="121" spans="1:11" ht="23.45" customHeight="1" x14ac:dyDescent="0.25">
      <c r="A121" s="33"/>
      <c r="B121" s="52" t="s">
        <v>500</v>
      </c>
      <c r="C121" s="52" t="s">
        <v>52</v>
      </c>
      <c r="D121" s="53" t="s">
        <v>501</v>
      </c>
      <c r="E121" s="54" t="s">
        <v>502</v>
      </c>
      <c r="F121" s="55" t="s">
        <v>38</v>
      </c>
      <c r="G121" s="56">
        <v>2.2999999999999998</v>
      </c>
      <c r="H121" s="57">
        <v>215.99</v>
      </c>
      <c r="I121" s="310">
        <f t="shared" si="21"/>
        <v>496.77699999999999</v>
      </c>
      <c r="J121" s="311"/>
      <c r="K121" s="312">
        <f t="shared" si="20"/>
        <v>496.77699999999999</v>
      </c>
    </row>
    <row r="122" spans="1:11" ht="23.45" customHeight="1" thickBot="1" x14ac:dyDescent="0.3">
      <c r="A122" s="33"/>
      <c r="B122" s="279" t="s">
        <v>43</v>
      </c>
      <c r="C122" s="279" t="s">
        <v>52</v>
      </c>
      <c r="D122" s="280" t="s">
        <v>503</v>
      </c>
      <c r="E122" s="313" t="s">
        <v>504</v>
      </c>
      <c r="F122" s="314">
        <v>3</v>
      </c>
      <c r="G122" s="315">
        <v>0.85</v>
      </c>
      <c r="H122" s="316">
        <v>1151.33</v>
      </c>
      <c r="I122" s="317">
        <f t="shared" si="21"/>
        <v>978.63049999999987</v>
      </c>
      <c r="J122" s="318"/>
      <c r="K122" s="319">
        <f t="shared" si="20"/>
        <v>978.63049999999987</v>
      </c>
    </row>
    <row r="123" spans="1:11" ht="23.45" customHeight="1" thickBot="1" x14ac:dyDescent="0.3">
      <c r="A123" s="320" t="s">
        <v>67</v>
      </c>
      <c r="B123" s="235"/>
      <c r="C123" s="236" t="s">
        <v>23</v>
      </c>
      <c r="D123" s="290" t="s">
        <v>505</v>
      </c>
      <c r="E123" s="290" t="s">
        <v>506</v>
      </c>
      <c r="F123" s="238"/>
      <c r="G123" s="238"/>
      <c r="H123" s="239"/>
      <c r="I123" s="31">
        <f>SUM(I124:I125)</f>
        <v>2701.4400000000005</v>
      </c>
      <c r="J123" s="31">
        <f>SUM(J124:J125)</f>
        <v>0</v>
      </c>
      <c r="K123" s="32">
        <f>SUM(K124:K125)</f>
        <v>2701.4400000000005</v>
      </c>
    </row>
    <row r="124" spans="1:11" ht="23.45" customHeight="1" x14ac:dyDescent="0.25">
      <c r="A124" s="33"/>
      <c r="B124" s="44" t="s">
        <v>507</v>
      </c>
      <c r="C124" s="44" t="s">
        <v>52</v>
      </c>
      <c r="D124" s="45" t="s">
        <v>508</v>
      </c>
      <c r="E124" s="46" t="s">
        <v>509</v>
      </c>
      <c r="F124" s="47" t="s">
        <v>174</v>
      </c>
      <c r="G124" s="48">
        <v>28</v>
      </c>
      <c r="H124" s="49">
        <v>50.96</v>
      </c>
      <c r="I124" s="307">
        <f>SUM(K124)</f>
        <v>1426.88</v>
      </c>
      <c r="J124" s="308"/>
      <c r="K124" s="309">
        <f>SUM(G124*H124)</f>
        <v>1426.88</v>
      </c>
    </row>
    <row r="125" spans="1:11" ht="23.45" customHeight="1" thickBot="1" x14ac:dyDescent="0.3">
      <c r="A125" s="33"/>
      <c r="B125" s="321" t="s">
        <v>379</v>
      </c>
      <c r="C125" s="321" t="s">
        <v>412</v>
      </c>
      <c r="D125" s="322" t="s">
        <v>510</v>
      </c>
      <c r="E125" s="281" t="s">
        <v>511</v>
      </c>
      <c r="F125" s="282" t="s">
        <v>174</v>
      </c>
      <c r="G125" s="283">
        <v>28</v>
      </c>
      <c r="H125" s="284">
        <v>45.52</v>
      </c>
      <c r="I125" s="323">
        <f>SUM(K125)</f>
        <v>1274.5600000000002</v>
      </c>
      <c r="J125" s="318"/>
      <c r="K125" s="319">
        <f>SUM(G125*H125)</f>
        <v>1274.5600000000002</v>
      </c>
    </row>
    <row r="126" spans="1:11" ht="23.45" customHeight="1" thickBot="1" x14ac:dyDescent="0.3">
      <c r="A126" s="324" t="s">
        <v>67</v>
      </c>
      <c r="B126" s="325"/>
      <c r="C126" s="326" t="s">
        <v>23</v>
      </c>
      <c r="D126" s="327" t="s">
        <v>26</v>
      </c>
      <c r="E126" s="327" t="s">
        <v>512</v>
      </c>
      <c r="F126" s="328"/>
      <c r="G126" s="328"/>
      <c r="H126" s="329"/>
      <c r="I126" s="31">
        <f>SUM(I127:I128)</f>
        <v>712.03</v>
      </c>
      <c r="J126" s="31">
        <f>SUM(J127:J128)</f>
        <v>0</v>
      </c>
      <c r="K126" s="32">
        <f>SUM(K127:K128)</f>
        <v>712.03</v>
      </c>
    </row>
    <row r="127" spans="1:11" ht="23.45" customHeight="1" x14ac:dyDescent="0.25">
      <c r="B127" s="44" t="s">
        <v>488</v>
      </c>
      <c r="C127" s="44" t="s">
        <v>52</v>
      </c>
      <c r="D127" s="45" t="s">
        <v>513</v>
      </c>
      <c r="E127" s="46" t="s">
        <v>514</v>
      </c>
      <c r="F127" s="47" t="s">
        <v>174</v>
      </c>
      <c r="G127" s="48">
        <v>2</v>
      </c>
      <c r="H127" s="49">
        <v>211.9</v>
      </c>
      <c r="I127" s="307">
        <f>SUM(K127)</f>
        <v>423.8</v>
      </c>
      <c r="J127" s="308"/>
      <c r="K127" s="309">
        <f>SUM(G127*H127)</f>
        <v>423.8</v>
      </c>
    </row>
    <row r="128" spans="1:11" ht="23.45" customHeight="1" thickBot="1" x14ac:dyDescent="0.3">
      <c r="B128" s="279" t="s">
        <v>360</v>
      </c>
      <c r="C128" s="279" t="s">
        <v>52</v>
      </c>
      <c r="D128" s="280" t="s">
        <v>515</v>
      </c>
      <c r="E128" s="313" t="s">
        <v>516</v>
      </c>
      <c r="F128" s="314" t="s">
        <v>174</v>
      </c>
      <c r="G128" s="315">
        <v>1</v>
      </c>
      <c r="H128" s="316">
        <v>288.23</v>
      </c>
      <c r="I128" s="317">
        <f>SUM(K128)</f>
        <v>288.23</v>
      </c>
      <c r="J128" s="318"/>
      <c r="K128" s="319">
        <f>SUM(G128*H128)</f>
        <v>288.23</v>
      </c>
    </row>
    <row r="129" spans="1:11" ht="23.45" customHeight="1" thickBot="1" x14ac:dyDescent="0.3">
      <c r="A129" s="324" t="s">
        <v>67</v>
      </c>
      <c r="B129" s="235"/>
      <c r="C129" s="236" t="s">
        <v>23</v>
      </c>
      <c r="D129" s="290" t="s">
        <v>34</v>
      </c>
      <c r="E129" s="290" t="s">
        <v>359</v>
      </c>
      <c r="F129" s="238"/>
      <c r="G129" s="238"/>
      <c r="H129" s="239"/>
      <c r="I129" s="31">
        <f>SUM(I130:I135)</f>
        <v>5534.23</v>
      </c>
      <c r="J129" s="31">
        <f>SUM(J130:J135)</f>
        <v>0</v>
      </c>
      <c r="K129" s="32">
        <f>SUM(K130:K135)</f>
        <v>5534.23</v>
      </c>
    </row>
    <row r="130" spans="1:11" ht="23.45" customHeight="1" x14ac:dyDescent="0.25">
      <c r="B130" s="44" t="s">
        <v>43</v>
      </c>
      <c r="C130" s="44" t="s">
        <v>52</v>
      </c>
      <c r="D130" s="45" t="s">
        <v>517</v>
      </c>
      <c r="E130" s="46" t="s">
        <v>518</v>
      </c>
      <c r="F130" s="47" t="s">
        <v>38</v>
      </c>
      <c r="G130" s="48">
        <v>2.5</v>
      </c>
      <c r="H130" s="49">
        <v>256.77999999999997</v>
      </c>
      <c r="I130" s="307">
        <f>SUM(K130)</f>
        <v>641.94999999999993</v>
      </c>
      <c r="J130" s="308"/>
      <c r="K130" s="309">
        <f t="shared" ref="K130:K135" si="22">SUM(G130*H130)</f>
        <v>641.94999999999993</v>
      </c>
    </row>
    <row r="131" spans="1:11" ht="23.45" customHeight="1" x14ac:dyDescent="0.25">
      <c r="B131" s="52" t="s">
        <v>507</v>
      </c>
      <c r="C131" s="52" t="s">
        <v>52</v>
      </c>
      <c r="D131" s="53" t="s">
        <v>519</v>
      </c>
      <c r="E131" s="54" t="s">
        <v>520</v>
      </c>
      <c r="F131" s="55" t="s">
        <v>38</v>
      </c>
      <c r="G131" s="56">
        <v>2</v>
      </c>
      <c r="H131" s="57">
        <v>275.02999999999997</v>
      </c>
      <c r="I131" s="310">
        <f t="shared" ref="I131:I135" si="23">SUM(K131)</f>
        <v>550.05999999999995</v>
      </c>
      <c r="J131" s="311"/>
      <c r="K131" s="312">
        <f t="shared" si="22"/>
        <v>550.05999999999995</v>
      </c>
    </row>
    <row r="132" spans="1:11" ht="23.45" customHeight="1" x14ac:dyDescent="0.25">
      <c r="B132" s="52" t="s">
        <v>379</v>
      </c>
      <c r="C132" s="52" t="s">
        <v>52</v>
      </c>
      <c r="D132" s="53" t="s">
        <v>521</v>
      </c>
      <c r="E132" s="54" t="s">
        <v>522</v>
      </c>
      <c r="F132" s="55" t="s">
        <v>38</v>
      </c>
      <c r="G132" s="56">
        <v>1</v>
      </c>
      <c r="H132" s="57">
        <v>245.76</v>
      </c>
      <c r="I132" s="310">
        <f t="shared" si="23"/>
        <v>245.76</v>
      </c>
      <c r="J132" s="311"/>
      <c r="K132" s="312">
        <f t="shared" si="22"/>
        <v>245.76</v>
      </c>
    </row>
    <row r="133" spans="1:11" ht="23.45" customHeight="1" x14ac:dyDescent="0.25">
      <c r="B133" s="52" t="s">
        <v>51</v>
      </c>
      <c r="C133" s="52" t="s">
        <v>52</v>
      </c>
      <c r="D133" s="53" t="s">
        <v>523</v>
      </c>
      <c r="E133" s="54" t="s">
        <v>524</v>
      </c>
      <c r="F133" s="55" t="s">
        <v>174</v>
      </c>
      <c r="G133" s="56">
        <v>4</v>
      </c>
      <c r="H133" s="57">
        <v>222.41</v>
      </c>
      <c r="I133" s="310">
        <f t="shared" si="23"/>
        <v>889.64</v>
      </c>
      <c r="J133" s="311"/>
      <c r="K133" s="312">
        <f t="shared" si="22"/>
        <v>889.64</v>
      </c>
    </row>
    <row r="134" spans="1:11" ht="23.45" customHeight="1" x14ac:dyDescent="0.25">
      <c r="B134" s="52" t="s">
        <v>365</v>
      </c>
      <c r="C134" s="52" t="s">
        <v>52</v>
      </c>
      <c r="D134" s="53" t="s">
        <v>525</v>
      </c>
      <c r="E134" s="54" t="s">
        <v>526</v>
      </c>
      <c r="F134" s="55" t="s">
        <v>174</v>
      </c>
      <c r="G134" s="56">
        <v>6</v>
      </c>
      <c r="H134" s="57">
        <v>285.52999999999997</v>
      </c>
      <c r="I134" s="310">
        <f t="shared" si="23"/>
        <v>1713.1799999999998</v>
      </c>
      <c r="J134" s="311"/>
      <c r="K134" s="312">
        <f t="shared" si="22"/>
        <v>1713.1799999999998</v>
      </c>
    </row>
    <row r="135" spans="1:11" ht="23.45" customHeight="1" x14ac:dyDescent="0.25">
      <c r="B135" s="52" t="s">
        <v>368</v>
      </c>
      <c r="C135" s="52" t="s">
        <v>52</v>
      </c>
      <c r="D135" s="53" t="s">
        <v>527</v>
      </c>
      <c r="E135" s="54" t="s">
        <v>528</v>
      </c>
      <c r="F135" s="55" t="s">
        <v>38</v>
      </c>
      <c r="G135" s="56">
        <v>6</v>
      </c>
      <c r="H135" s="57">
        <v>248.94</v>
      </c>
      <c r="I135" s="310">
        <f t="shared" si="23"/>
        <v>1493.6399999999999</v>
      </c>
      <c r="J135" s="311"/>
      <c r="K135" s="312">
        <f t="shared" si="22"/>
        <v>1493.6399999999999</v>
      </c>
    </row>
  </sheetData>
  <pageMargins left="0.7" right="0.7" top="0.78740157499999996" bottom="0.78740157499999996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1"/>
  <sheetViews>
    <sheetView workbookViewId="0">
      <selection activeCell="N20" sqref="N20"/>
    </sheetView>
  </sheetViews>
  <sheetFormatPr defaultRowHeight="15" x14ac:dyDescent="0.25"/>
  <cols>
    <col min="10" max="10" width="19" customWidth="1"/>
    <col min="11" max="11" width="28.7109375" customWidth="1"/>
  </cols>
  <sheetData>
    <row r="3" spans="1:11" ht="15.75" thickBot="1" x14ac:dyDescent="0.3">
      <c r="A3" s="339"/>
      <c r="B3" s="340"/>
      <c r="C3" s="340"/>
      <c r="D3" s="340"/>
      <c r="E3" s="340"/>
      <c r="F3" s="340"/>
      <c r="G3" s="341"/>
      <c r="H3" s="340"/>
      <c r="I3" s="340"/>
      <c r="J3" s="341"/>
      <c r="K3" s="342"/>
    </row>
    <row r="4" spans="1:11" ht="18" thickBot="1" x14ac:dyDescent="0.3">
      <c r="A4" s="449" t="s">
        <v>530</v>
      </c>
      <c r="B4" s="449"/>
      <c r="C4" s="450" t="s">
        <v>531</v>
      </c>
      <c r="D4" s="450"/>
      <c r="E4" s="450"/>
      <c r="F4" s="450"/>
      <c r="G4" s="450"/>
      <c r="H4" s="450"/>
      <c r="I4" s="450"/>
      <c r="J4" s="450"/>
      <c r="K4" s="450"/>
    </row>
    <row r="5" spans="1:11" ht="15.75" thickBot="1" x14ac:dyDescent="0.3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21.75" thickBot="1" x14ac:dyDescent="0.3">
      <c r="A6" s="451" t="s">
        <v>532</v>
      </c>
      <c r="B6" s="451"/>
      <c r="C6" s="451"/>
      <c r="D6" s="451"/>
      <c r="E6" s="451"/>
      <c r="F6" s="451"/>
      <c r="G6" s="451"/>
      <c r="H6" s="343" t="s">
        <v>533</v>
      </c>
      <c r="I6" s="344"/>
      <c r="J6" s="345" t="s">
        <v>578</v>
      </c>
      <c r="K6" s="346"/>
    </row>
    <row r="7" spans="1:11" ht="15.75" thickBot="1" x14ac:dyDescent="0.3">
      <c r="A7" s="347"/>
      <c r="B7" s="348"/>
      <c r="C7" s="348"/>
      <c r="D7" s="348"/>
      <c r="E7" s="348"/>
      <c r="F7" s="348"/>
      <c r="G7" s="348"/>
      <c r="H7" s="348"/>
      <c r="I7" s="348"/>
      <c r="J7" s="349"/>
      <c r="K7" s="350"/>
    </row>
    <row r="8" spans="1:11" ht="15.75" thickBot="1" x14ac:dyDescent="0.3">
      <c r="A8" s="351" t="s">
        <v>534</v>
      </c>
      <c r="B8" s="349"/>
      <c r="C8" s="349"/>
      <c r="D8" s="349"/>
      <c r="E8" s="349"/>
      <c r="F8" s="349"/>
      <c r="G8" s="349"/>
      <c r="H8" s="349"/>
      <c r="I8" s="349"/>
      <c r="J8" s="411" t="s">
        <v>5</v>
      </c>
      <c r="K8" s="352">
        <v>43790</v>
      </c>
    </row>
    <row r="9" spans="1:11" ht="15.75" thickBot="1" x14ac:dyDescent="0.3">
      <c r="A9" s="353"/>
      <c r="B9" s="340"/>
      <c r="C9" s="340"/>
      <c r="D9" s="340"/>
      <c r="E9" s="340"/>
      <c r="F9" s="340"/>
      <c r="G9" s="340"/>
      <c r="H9" s="340"/>
      <c r="I9" s="340"/>
      <c r="J9" s="340"/>
      <c r="K9" s="354"/>
    </row>
    <row r="10" spans="1:11" x14ac:dyDescent="0.25">
      <c r="A10" s="452"/>
      <c r="B10" s="453"/>
      <c r="C10" s="453"/>
      <c r="D10" s="453"/>
      <c r="E10" s="453"/>
      <c r="F10" s="453"/>
      <c r="G10" s="453"/>
      <c r="H10" s="453"/>
      <c r="I10" s="397"/>
      <c r="J10" s="398"/>
      <c r="K10" s="399"/>
    </row>
    <row r="11" spans="1:11" x14ac:dyDescent="0.25">
      <c r="A11" s="410" t="s">
        <v>535</v>
      </c>
      <c r="B11" s="396"/>
      <c r="C11" s="393" t="s">
        <v>574</v>
      </c>
      <c r="D11" s="395"/>
      <c r="E11" s="395"/>
      <c r="F11" s="395"/>
      <c r="G11" s="395"/>
      <c r="H11" s="395"/>
      <c r="I11" s="395"/>
      <c r="J11" s="395"/>
      <c r="K11" s="401"/>
    </row>
    <row r="12" spans="1:11" x14ac:dyDescent="0.25">
      <c r="A12" s="400"/>
      <c r="B12" s="396"/>
      <c r="C12" s="454" t="s">
        <v>572</v>
      </c>
      <c r="D12" s="454"/>
      <c r="E12" s="454"/>
      <c r="F12" s="454"/>
      <c r="G12" s="454"/>
      <c r="H12" s="454"/>
      <c r="I12" s="454"/>
      <c r="J12" s="454"/>
      <c r="K12" s="455"/>
    </row>
    <row r="13" spans="1:11" x14ac:dyDescent="0.25">
      <c r="A13" s="400"/>
      <c r="B13" s="396"/>
      <c r="C13" s="393" t="s">
        <v>573</v>
      </c>
      <c r="D13" s="393"/>
      <c r="E13" s="393"/>
      <c r="F13" s="393"/>
      <c r="G13" s="393"/>
      <c r="H13" s="393"/>
      <c r="I13" s="393"/>
      <c r="J13" s="393"/>
      <c r="K13" s="402"/>
    </row>
    <row r="14" spans="1:11" x14ac:dyDescent="0.25">
      <c r="A14" s="400"/>
      <c r="B14" s="396"/>
      <c r="C14" s="394" t="s">
        <v>576</v>
      </c>
      <c r="D14" s="393"/>
      <c r="E14" s="393"/>
      <c r="F14" s="393"/>
      <c r="G14" s="393"/>
      <c r="H14" s="393"/>
      <c r="I14" s="393"/>
      <c r="J14" s="393"/>
      <c r="K14" s="402"/>
    </row>
    <row r="15" spans="1:11" x14ac:dyDescent="0.25">
      <c r="A15" s="400"/>
      <c r="B15" s="396"/>
      <c r="C15" s="393"/>
      <c r="D15" s="393"/>
      <c r="E15" s="393"/>
      <c r="F15" s="393"/>
      <c r="G15" s="393"/>
      <c r="H15" s="393"/>
      <c r="I15" s="393"/>
      <c r="J15" s="393"/>
      <c r="K15" s="402"/>
    </row>
    <row r="16" spans="1:11" x14ac:dyDescent="0.25">
      <c r="A16" s="400"/>
      <c r="B16" s="396"/>
      <c r="C16" s="393"/>
      <c r="D16" s="393"/>
      <c r="E16" s="393"/>
      <c r="F16" s="393"/>
      <c r="G16" s="393"/>
      <c r="H16" s="393"/>
      <c r="I16" s="393"/>
      <c r="J16" s="393"/>
      <c r="K16" s="402"/>
    </row>
    <row r="17" spans="1:11" x14ac:dyDescent="0.25">
      <c r="A17" s="400"/>
      <c r="B17" s="396"/>
      <c r="C17" s="393"/>
      <c r="D17" s="393"/>
      <c r="E17" s="393"/>
      <c r="F17" s="393"/>
      <c r="G17" s="393"/>
      <c r="H17" s="393"/>
      <c r="I17" s="393"/>
      <c r="J17" s="393"/>
      <c r="K17" s="402"/>
    </row>
    <row r="18" spans="1:11" x14ac:dyDescent="0.25">
      <c r="A18" s="400"/>
      <c r="B18" s="396"/>
      <c r="C18" s="393"/>
      <c r="D18" s="393"/>
      <c r="E18" s="393"/>
      <c r="F18" s="393"/>
      <c r="G18" s="393"/>
      <c r="H18" s="393"/>
      <c r="I18" s="393"/>
      <c r="J18" s="393"/>
      <c r="K18" s="402"/>
    </row>
    <row r="19" spans="1:11" x14ac:dyDescent="0.25">
      <c r="A19" s="409" t="s">
        <v>536</v>
      </c>
      <c r="B19" s="403"/>
      <c r="C19" s="454"/>
      <c r="D19" s="454"/>
      <c r="E19" s="454"/>
      <c r="F19" s="454"/>
      <c r="G19" s="454"/>
      <c r="H19" s="454"/>
      <c r="I19" s="454"/>
      <c r="J19" s="454"/>
      <c r="K19" s="455"/>
    </row>
    <row r="20" spans="1:11" x14ac:dyDescent="0.25">
      <c r="A20" s="400"/>
      <c r="B20" s="396"/>
      <c r="C20" s="396"/>
      <c r="D20" s="396"/>
      <c r="E20" s="396"/>
      <c r="F20" s="396"/>
      <c r="G20" s="396"/>
      <c r="H20" s="396"/>
      <c r="I20" s="396"/>
      <c r="J20" s="396"/>
      <c r="K20" s="404"/>
    </row>
    <row r="21" spans="1:11" x14ac:dyDescent="0.25">
      <c r="A21" s="400" t="s">
        <v>537</v>
      </c>
      <c r="B21" s="396"/>
      <c r="C21" s="396"/>
      <c r="D21" s="467"/>
      <c r="E21" s="467"/>
      <c r="F21" s="467"/>
      <c r="G21" s="467"/>
      <c r="H21" s="467"/>
      <c r="I21" s="467"/>
      <c r="J21" s="467"/>
      <c r="K21" s="468"/>
    </row>
    <row r="22" spans="1:11" x14ac:dyDescent="0.25">
      <c r="A22" s="400" t="s">
        <v>538</v>
      </c>
      <c r="B22" s="396"/>
      <c r="C22" s="469"/>
      <c r="D22" s="469"/>
      <c r="E22" s="469"/>
      <c r="F22" s="469"/>
      <c r="G22" s="469"/>
      <c r="H22" s="469"/>
      <c r="I22" s="469"/>
      <c r="J22" s="469"/>
      <c r="K22" s="405"/>
    </row>
    <row r="23" spans="1:11" ht="15.75" thickBot="1" x14ac:dyDescent="0.3">
      <c r="A23" s="406" t="s">
        <v>539</v>
      </c>
      <c r="B23" s="407"/>
      <c r="C23" s="407"/>
      <c r="D23" s="407"/>
      <c r="E23" s="407" t="s">
        <v>540</v>
      </c>
      <c r="F23" s="407"/>
      <c r="G23" s="407"/>
      <c r="H23" s="407"/>
      <c r="I23" s="407"/>
      <c r="J23" s="407"/>
      <c r="K23" s="408"/>
    </row>
    <row r="24" spans="1:11" x14ac:dyDescent="0.25">
      <c r="A24" s="470" t="s">
        <v>541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</row>
    <row r="25" spans="1:11" x14ac:dyDescent="0.25">
      <c r="A25" s="359"/>
      <c r="B25" s="458"/>
      <c r="C25" s="458"/>
      <c r="D25" s="458"/>
      <c r="E25" s="458"/>
      <c r="F25" s="458"/>
      <c r="G25" s="458"/>
      <c r="H25" s="458"/>
      <c r="I25" s="458"/>
      <c r="J25" s="458"/>
      <c r="K25" s="458"/>
    </row>
    <row r="26" spans="1:11" x14ac:dyDescent="0.25">
      <c r="A26" s="471" t="s">
        <v>579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</row>
    <row r="27" spans="1:11" x14ac:dyDescent="0.25">
      <c r="A27" s="471"/>
      <c r="B27" s="471"/>
      <c r="C27" s="471"/>
      <c r="D27" s="471"/>
      <c r="E27" s="471"/>
      <c r="F27" s="471"/>
      <c r="G27" s="471"/>
      <c r="H27" s="471"/>
      <c r="I27" s="471"/>
      <c r="J27" s="471"/>
      <c r="K27" s="471"/>
    </row>
    <row r="28" spans="1:11" x14ac:dyDescent="0.25">
      <c r="A28" s="471"/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29" spans="1:11" x14ac:dyDescent="0.25">
      <c r="A29" s="464" t="s">
        <v>581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6"/>
    </row>
    <row r="30" spans="1:11" x14ac:dyDescent="0.25">
      <c r="A30" s="353"/>
      <c r="B30" s="458"/>
      <c r="C30" s="458"/>
      <c r="D30" s="458"/>
      <c r="E30" s="458"/>
      <c r="F30" s="458"/>
      <c r="G30" s="458"/>
      <c r="H30" s="458"/>
      <c r="I30" s="458"/>
      <c r="J30" s="458"/>
      <c r="K30" s="458"/>
    </row>
    <row r="31" spans="1:11" x14ac:dyDescent="0.25">
      <c r="A31" s="356"/>
      <c r="B31" s="459"/>
      <c r="C31" s="459"/>
      <c r="D31" s="459"/>
      <c r="E31" s="459"/>
      <c r="F31" s="459"/>
      <c r="G31" s="459"/>
      <c r="H31" s="459"/>
      <c r="I31" s="459"/>
      <c r="J31" s="459"/>
      <c r="K31" s="459"/>
    </row>
    <row r="32" spans="1:11" x14ac:dyDescent="0.25">
      <c r="A32" s="353"/>
      <c r="B32" s="460"/>
      <c r="C32" s="460"/>
      <c r="D32" s="460"/>
      <c r="E32" s="460"/>
      <c r="F32" s="460"/>
      <c r="G32" s="460"/>
      <c r="H32" s="460"/>
      <c r="I32" s="460"/>
      <c r="J32" s="460"/>
      <c r="K32" s="460"/>
    </row>
    <row r="33" spans="1:11" x14ac:dyDescent="0.25">
      <c r="A33" s="356"/>
      <c r="B33" s="459"/>
      <c r="C33" s="459"/>
      <c r="D33" s="459"/>
      <c r="E33" s="459"/>
      <c r="F33" s="459"/>
      <c r="G33" s="459"/>
      <c r="H33" s="459"/>
      <c r="I33" s="459"/>
      <c r="J33" s="459"/>
      <c r="K33" s="459"/>
    </row>
    <row r="34" spans="1:11" x14ac:dyDescent="0.25">
      <c r="A34" s="359" t="s">
        <v>542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54"/>
    </row>
    <row r="35" spans="1:11" x14ac:dyDescent="0.25">
      <c r="A35" s="353"/>
      <c r="B35" s="340"/>
      <c r="C35" s="340"/>
      <c r="D35" s="340"/>
      <c r="E35" s="340"/>
      <c r="F35" s="340"/>
      <c r="G35" s="340"/>
      <c r="H35" s="340"/>
      <c r="I35" s="340"/>
      <c r="J35" s="340"/>
      <c r="K35" s="354"/>
    </row>
    <row r="36" spans="1:11" x14ac:dyDescent="0.25">
      <c r="A36" s="353"/>
      <c r="B36" s="342" t="s">
        <v>543</v>
      </c>
      <c r="C36" s="340"/>
      <c r="D36" s="355"/>
      <c r="E36" s="360">
        <f>SUM('pragraf 6'!K1)</f>
        <v>373936.49939999997</v>
      </c>
      <c r="F36" s="361" t="s">
        <v>30</v>
      </c>
      <c r="G36" s="362"/>
      <c r="H36" s="362"/>
      <c r="I36" s="362"/>
      <c r="J36" s="362"/>
      <c r="K36" s="413"/>
    </row>
    <row r="37" spans="1:11" x14ac:dyDescent="0.25">
      <c r="A37" s="353"/>
      <c r="B37" s="364" t="s">
        <v>544</v>
      </c>
      <c r="C37" s="365"/>
      <c r="D37" s="366"/>
      <c r="E37" s="367">
        <f>SUM(E36*0.21)</f>
        <v>78526.664873999995</v>
      </c>
      <c r="F37" s="368" t="s">
        <v>30</v>
      </c>
      <c r="G37" s="369"/>
      <c r="H37" s="362"/>
      <c r="I37" s="362"/>
      <c r="J37" s="362"/>
      <c r="K37" s="413"/>
    </row>
    <row r="38" spans="1:11" x14ac:dyDescent="0.25">
      <c r="A38" s="353"/>
      <c r="B38" s="342" t="s">
        <v>545</v>
      </c>
      <c r="C38" s="340"/>
      <c r="D38" s="355"/>
      <c r="E38" s="360">
        <f>SUM(E36:E37)</f>
        <v>452463.16427399998</v>
      </c>
      <c r="F38" s="361" t="s">
        <v>30</v>
      </c>
      <c r="G38" s="362"/>
      <c r="H38" s="362"/>
      <c r="I38" s="362"/>
      <c r="J38" s="362"/>
      <c r="K38" s="413"/>
    </row>
    <row r="39" spans="1:11" x14ac:dyDescent="0.25">
      <c r="A39" s="356"/>
      <c r="B39" s="357"/>
      <c r="C39" s="357"/>
      <c r="D39" s="357"/>
      <c r="E39" s="357"/>
      <c r="F39" s="357"/>
      <c r="G39" s="357"/>
      <c r="H39" s="357"/>
      <c r="I39" s="357"/>
      <c r="J39" s="357"/>
      <c r="K39" s="358"/>
    </row>
    <row r="40" spans="1:11" x14ac:dyDescent="0.25">
      <c r="A40" s="359" t="s">
        <v>546</v>
      </c>
      <c r="B40" s="340"/>
      <c r="C40" s="340"/>
      <c r="D40" s="340"/>
      <c r="E40" s="340"/>
      <c r="F40" s="340"/>
      <c r="G40" s="340"/>
      <c r="H40" s="340"/>
      <c r="I40" s="340"/>
      <c r="J40" s="340"/>
      <c r="K40" s="354"/>
    </row>
    <row r="41" spans="1:11" x14ac:dyDescent="0.25">
      <c r="A41" s="353"/>
      <c r="B41" s="340"/>
      <c r="C41" s="340"/>
      <c r="D41" s="340"/>
      <c r="E41" s="340"/>
      <c r="F41" s="340"/>
      <c r="G41" s="340"/>
      <c r="H41" s="340"/>
      <c r="I41" s="340"/>
      <c r="J41" s="340"/>
      <c r="K41" s="354"/>
    </row>
    <row r="42" spans="1:11" x14ac:dyDescent="0.25">
      <c r="A42" s="370" t="s">
        <v>547</v>
      </c>
      <c r="B42" s="371"/>
      <c r="C42" s="371"/>
      <c r="D42" s="371"/>
      <c r="E42" s="371"/>
      <c r="F42" s="371"/>
      <c r="G42" s="371"/>
      <c r="H42" s="371"/>
      <c r="I42" s="371"/>
      <c r="J42" s="372"/>
      <c r="K42" s="373"/>
    </row>
    <row r="43" spans="1:11" x14ac:dyDescent="0.25">
      <c r="A43" s="370"/>
      <c r="B43" s="371"/>
      <c r="C43" s="371"/>
      <c r="D43" s="461" t="s">
        <v>548</v>
      </c>
      <c r="E43" s="461"/>
      <c r="F43" s="374"/>
      <c r="G43" s="461" t="s">
        <v>549</v>
      </c>
      <c r="H43" s="461"/>
      <c r="I43" s="374"/>
      <c r="J43" s="412" t="s">
        <v>550</v>
      </c>
      <c r="K43" s="376"/>
    </row>
    <row r="44" spans="1:11" x14ac:dyDescent="0.25">
      <c r="A44" s="370" t="s">
        <v>551</v>
      </c>
      <c r="B44" s="371"/>
      <c r="C44" s="371"/>
      <c r="D44" s="371"/>
      <c r="E44" s="371"/>
      <c r="F44" s="371"/>
      <c r="G44" s="371"/>
      <c r="H44" s="371"/>
      <c r="I44" s="371"/>
      <c r="J44" s="372"/>
      <c r="K44" s="373"/>
    </row>
    <row r="45" spans="1:11" x14ac:dyDescent="0.25">
      <c r="A45" s="370"/>
      <c r="B45" s="371"/>
      <c r="C45" s="371"/>
      <c r="D45" s="461" t="s">
        <v>548</v>
      </c>
      <c r="E45" s="461"/>
      <c r="F45" s="374"/>
      <c r="G45" s="461" t="s">
        <v>549</v>
      </c>
      <c r="H45" s="461"/>
      <c r="I45" s="374"/>
      <c r="J45" s="412" t="s">
        <v>550</v>
      </c>
      <c r="K45" s="373"/>
    </row>
    <row r="46" spans="1:11" x14ac:dyDescent="0.25">
      <c r="A46" s="370" t="s">
        <v>552</v>
      </c>
      <c r="B46" s="371"/>
      <c r="C46" s="371"/>
      <c r="D46" s="457" t="s">
        <v>553</v>
      </c>
      <c r="E46" s="457"/>
      <c r="F46" s="371"/>
      <c r="G46" s="371"/>
      <c r="H46" s="371"/>
      <c r="I46" s="371"/>
      <c r="J46" s="372"/>
      <c r="K46" s="373"/>
    </row>
    <row r="47" spans="1:11" x14ac:dyDescent="0.25">
      <c r="A47" s="370"/>
      <c r="B47" s="371"/>
      <c r="C47" s="371"/>
      <c r="D47" s="461" t="s">
        <v>548</v>
      </c>
      <c r="E47" s="461"/>
      <c r="F47" s="374"/>
      <c r="G47" s="461" t="s">
        <v>549</v>
      </c>
      <c r="H47" s="461"/>
      <c r="I47" s="374"/>
      <c r="J47" s="412" t="s">
        <v>550</v>
      </c>
      <c r="K47" s="373"/>
    </row>
    <row r="48" spans="1:11" x14ac:dyDescent="0.25">
      <c r="A48" s="370" t="s">
        <v>554</v>
      </c>
      <c r="B48" s="371"/>
      <c r="C48" s="371"/>
      <c r="D48" s="457" t="s">
        <v>553</v>
      </c>
      <c r="E48" s="457"/>
      <c r="F48" s="371"/>
      <c r="G48" s="371"/>
      <c r="H48" s="371"/>
      <c r="I48" s="371"/>
      <c r="J48" s="372"/>
      <c r="K48" s="373"/>
    </row>
    <row r="49" spans="1:11" x14ac:dyDescent="0.25">
      <c r="A49" s="353"/>
      <c r="B49" s="340"/>
      <c r="C49" s="340"/>
      <c r="D49" s="461" t="s">
        <v>548</v>
      </c>
      <c r="E49" s="461"/>
      <c r="F49" s="374"/>
      <c r="G49" s="461" t="s">
        <v>549</v>
      </c>
      <c r="H49" s="461"/>
      <c r="I49" s="374"/>
      <c r="J49" s="412" t="s">
        <v>550</v>
      </c>
      <c r="K49" s="377"/>
    </row>
    <row r="50" spans="1:11" x14ac:dyDescent="0.25">
      <c r="A50" s="353"/>
      <c r="B50" s="340"/>
      <c r="C50" s="340"/>
      <c r="D50" s="340"/>
      <c r="E50" s="340"/>
      <c r="F50" s="340"/>
      <c r="G50" s="340"/>
      <c r="H50" s="340"/>
      <c r="I50" s="340"/>
      <c r="J50" s="340"/>
      <c r="K50" s="354"/>
    </row>
    <row r="51" spans="1:11" x14ac:dyDescent="0.25">
      <c r="A51" s="353" t="s">
        <v>555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54"/>
    </row>
    <row r="52" spans="1:11" x14ac:dyDescent="0.25">
      <c r="A52" s="353" t="s">
        <v>556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54"/>
    </row>
    <row r="53" spans="1:11" ht="15.75" thickBot="1" x14ac:dyDescent="0.3">
      <c r="A53" s="353" t="s">
        <v>557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54"/>
    </row>
    <row r="54" spans="1:11" ht="15.75" thickBot="1" x14ac:dyDescent="0.3">
      <c r="A54" s="378" t="s">
        <v>558</v>
      </c>
      <c r="B54" s="379"/>
      <c r="C54" s="379"/>
      <c r="D54" s="379"/>
      <c r="E54" s="379"/>
      <c r="F54" s="379"/>
      <c r="G54" s="379"/>
      <c r="H54" s="379"/>
      <c r="I54" s="380" t="s">
        <v>559</v>
      </c>
      <c r="J54" s="381" t="s">
        <v>580</v>
      </c>
      <c r="K54" s="382"/>
    </row>
    <row r="55" spans="1:11" x14ac:dyDescent="0.25">
      <c r="A55" s="353"/>
      <c r="B55" s="340"/>
      <c r="C55" s="340"/>
      <c r="D55" s="340"/>
      <c r="E55" s="340"/>
      <c r="F55" s="340"/>
      <c r="G55" s="340"/>
      <c r="H55" s="340"/>
      <c r="I55" s="340"/>
      <c r="J55" s="340"/>
      <c r="K55" s="354"/>
    </row>
    <row r="56" spans="1:11" x14ac:dyDescent="0.25">
      <c r="A56" s="353" t="s">
        <v>560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54"/>
    </row>
    <row r="57" spans="1:11" x14ac:dyDescent="0.25">
      <c r="A57" s="353" t="s">
        <v>561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54"/>
    </row>
    <row r="58" spans="1:11" x14ac:dyDescent="0.25">
      <c r="A58" s="353"/>
      <c r="B58" s="340"/>
      <c r="C58" s="340"/>
      <c r="D58" s="340"/>
      <c r="E58" s="340"/>
      <c r="F58" s="340"/>
      <c r="G58" s="340"/>
      <c r="H58" s="340"/>
      <c r="I58" s="340"/>
      <c r="J58" s="340"/>
      <c r="K58" s="354"/>
    </row>
    <row r="59" spans="1:11" ht="26.25" x14ac:dyDescent="0.25">
      <c r="A59" s="353" t="s">
        <v>562</v>
      </c>
      <c r="B59" s="340"/>
      <c r="C59" s="360"/>
      <c r="D59" s="383">
        <f>SUM(E38)</f>
        <v>452463.16427399998</v>
      </c>
      <c r="E59" s="342" t="s">
        <v>30</v>
      </c>
      <c r="F59" s="384"/>
      <c r="G59" s="384"/>
      <c r="H59" s="384"/>
      <c r="I59" s="384" t="s">
        <v>563</v>
      </c>
      <c r="J59" s="385" t="s">
        <v>564</v>
      </c>
      <c r="K59" s="386"/>
    </row>
    <row r="60" spans="1:11" x14ac:dyDescent="0.25">
      <c r="A60" s="353"/>
      <c r="B60" s="340"/>
      <c r="C60" s="340"/>
      <c r="D60" s="340"/>
      <c r="E60" s="340"/>
      <c r="F60" s="340"/>
      <c r="G60" s="340"/>
      <c r="H60" s="340"/>
      <c r="I60" s="340"/>
      <c r="J60" s="342"/>
      <c r="K60" s="387"/>
    </row>
    <row r="61" spans="1:11" x14ac:dyDescent="0.25">
      <c r="A61" s="353"/>
      <c r="B61" s="340"/>
      <c r="C61" s="340"/>
      <c r="D61" s="340"/>
      <c r="E61" s="340"/>
      <c r="F61" s="340"/>
      <c r="G61" s="340"/>
      <c r="H61" s="340"/>
      <c r="I61" s="340"/>
      <c r="J61" s="340"/>
      <c r="K61" s="354"/>
    </row>
    <row r="62" spans="1:11" x14ac:dyDescent="0.25">
      <c r="A62" s="353" t="s">
        <v>565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54"/>
    </row>
    <row r="63" spans="1:11" x14ac:dyDescent="0.25">
      <c r="A63" s="353"/>
      <c r="B63" s="340"/>
      <c r="C63" s="355"/>
      <c r="D63" s="355"/>
      <c r="E63" s="388"/>
      <c r="F63" s="355"/>
      <c r="G63" s="340"/>
      <c r="H63" s="340"/>
      <c r="I63" s="340"/>
      <c r="J63" s="340"/>
      <c r="K63" s="354"/>
    </row>
    <row r="64" spans="1:11" x14ac:dyDescent="0.25">
      <c r="A64" s="353"/>
      <c r="B64" s="340"/>
      <c r="C64" s="355"/>
      <c r="D64" s="355"/>
      <c r="E64" s="456" t="s">
        <v>549</v>
      </c>
      <c r="F64" s="456"/>
      <c r="G64" s="456"/>
      <c r="H64" s="340"/>
      <c r="I64" s="456" t="s">
        <v>550</v>
      </c>
      <c r="J64" s="456"/>
      <c r="K64" s="389"/>
    </row>
    <row r="65" spans="1:11" x14ac:dyDescent="0.25">
      <c r="A65" s="353"/>
      <c r="B65" s="340"/>
      <c r="C65" s="355"/>
      <c r="D65" s="355"/>
      <c r="E65" s="355"/>
      <c r="F65" s="355"/>
      <c r="G65" s="340"/>
      <c r="H65" s="340"/>
      <c r="I65" s="340"/>
      <c r="J65" s="340"/>
      <c r="K65" s="389"/>
    </row>
    <row r="66" spans="1:11" x14ac:dyDescent="0.25">
      <c r="A66" s="353" t="s">
        <v>566</v>
      </c>
      <c r="B66" s="340"/>
      <c r="C66" s="340"/>
      <c r="D66" s="340"/>
      <c r="E66" s="340" t="s">
        <v>567</v>
      </c>
      <c r="F66" s="340"/>
      <c r="G66" s="340"/>
      <c r="H66" s="340"/>
      <c r="I66" s="340"/>
      <c r="J66" s="340"/>
      <c r="K66" s="354"/>
    </row>
    <row r="67" spans="1:11" x14ac:dyDescent="0.25">
      <c r="A67" s="353"/>
      <c r="B67" s="340"/>
      <c r="C67" s="355"/>
      <c r="D67" s="355"/>
      <c r="E67" s="388"/>
      <c r="F67" s="355"/>
      <c r="G67" s="340"/>
      <c r="H67" s="340"/>
      <c r="I67" s="340"/>
      <c r="J67" s="340"/>
      <c r="K67" s="354"/>
    </row>
    <row r="68" spans="1:11" x14ac:dyDescent="0.25">
      <c r="A68" s="353"/>
      <c r="B68" s="340"/>
      <c r="C68" s="355"/>
      <c r="D68" s="355"/>
      <c r="E68" s="456" t="s">
        <v>549</v>
      </c>
      <c r="F68" s="456"/>
      <c r="G68" s="456"/>
      <c r="H68" s="340"/>
      <c r="I68" s="456" t="s">
        <v>550</v>
      </c>
      <c r="J68" s="456"/>
      <c r="K68" s="377"/>
    </row>
    <row r="69" spans="1:11" x14ac:dyDescent="0.25">
      <c r="A69" s="353"/>
      <c r="B69" s="340"/>
      <c r="C69" s="355"/>
      <c r="D69" s="355"/>
      <c r="E69" s="390"/>
      <c r="F69" s="390"/>
      <c r="G69" s="390"/>
      <c r="H69" s="340"/>
      <c r="I69" s="390"/>
      <c r="J69" s="390"/>
      <c r="K69" s="377"/>
    </row>
    <row r="70" spans="1:11" x14ac:dyDescent="0.25">
      <c r="A70" s="353" t="s">
        <v>568</v>
      </c>
      <c r="B70" s="340"/>
      <c r="C70" s="340"/>
      <c r="D70" s="340"/>
      <c r="E70" s="340"/>
      <c r="F70" s="340"/>
      <c r="G70" s="340"/>
      <c r="H70" s="340"/>
      <c r="I70" s="340"/>
      <c r="J70" s="340"/>
      <c r="K70" s="354"/>
    </row>
    <row r="71" spans="1:11" ht="15.75" thickBot="1" x14ac:dyDescent="0.3">
      <c r="A71" s="391" t="s">
        <v>569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92"/>
    </row>
  </sheetData>
  <mergeCells count="30">
    <mergeCell ref="D49:E49"/>
    <mergeCell ref="G49:H49"/>
    <mergeCell ref="E64:G64"/>
    <mergeCell ref="I64:J64"/>
    <mergeCell ref="E68:G68"/>
    <mergeCell ref="I68:J68"/>
    <mergeCell ref="D48:E48"/>
    <mergeCell ref="B30:K30"/>
    <mergeCell ref="B31:K31"/>
    <mergeCell ref="B32:K32"/>
    <mergeCell ref="B33:K33"/>
    <mergeCell ref="D43:E43"/>
    <mergeCell ref="G43:H43"/>
    <mergeCell ref="D45:E45"/>
    <mergeCell ref="G45:H45"/>
    <mergeCell ref="D46:E46"/>
    <mergeCell ref="D47:E47"/>
    <mergeCell ref="G47:H47"/>
    <mergeCell ref="A29:K29"/>
    <mergeCell ref="A4:B4"/>
    <mergeCell ref="C4:K4"/>
    <mergeCell ref="A6:G6"/>
    <mergeCell ref="A10:H10"/>
    <mergeCell ref="C12:K12"/>
    <mergeCell ref="C19:K19"/>
    <mergeCell ref="D21:K21"/>
    <mergeCell ref="C22:J22"/>
    <mergeCell ref="A24:K24"/>
    <mergeCell ref="B25:K25"/>
    <mergeCell ref="A26:K2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4"/>
  <sheetViews>
    <sheetView tabSelected="1" workbookViewId="0">
      <selection activeCell="K2" sqref="K2"/>
    </sheetView>
  </sheetViews>
  <sheetFormatPr defaultRowHeight="21" customHeight="1" x14ac:dyDescent="0.25"/>
  <cols>
    <col min="1" max="1" width="4.7109375" customWidth="1"/>
    <col min="5" max="5" width="42.28515625" customWidth="1"/>
    <col min="9" max="9" width="14.42578125" customWidth="1"/>
    <col min="10" max="10" width="13.42578125" customWidth="1"/>
    <col min="11" max="11" width="15.28515625" customWidth="1"/>
    <col min="12" max="12" width="26.28515625" customWidth="1"/>
  </cols>
  <sheetData>
    <row r="1" spans="1:12" ht="21" customHeight="1" thickBot="1" x14ac:dyDescent="0.3">
      <c r="I1" s="414" t="s">
        <v>577</v>
      </c>
      <c r="J1" s="415"/>
      <c r="K1" s="416">
        <f>SUM(K4+K17+K22+K34+K49+K52+K73+K6+K11)</f>
        <v>373936.49939999997</v>
      </c>
    </row>
    <row r="2" spans="1:12" ht="21" customHeight="1" x14ac:dyDescent="0.25">
      <c r="I2" s="393"/>
      <c r="J2" s="395"/>
      <c r="K2" s="480"/>
    </row>
    <row r="3" spans="1:12" ht="21" customHeight="1" thickBot="1" x14ac:dyDescent="0.3">
      <c r="I3" s="330">
        <f>(I4+I6+I11+I22+I17+I34+I49+I52+I73)</f>
        <v>633936.13939999999</v>
      </c>
      <c r="J3" s="330">
        <f>(J4+J6+J11+J17+J22+J34+J49+J52+J73)</f>
        <v>-259999.64</v>
      </c>
      <c r="K3" s="330">
        <f>(I3+J3)</f>
        <v>373936.49939999997</v>
      </c>
    </row>
    <row r="4" spans="1:12" ht="21" customHeight="1" thickBot="1" x14ac:dyDescent="0.3">
      <c r="A4" s="33" t="s">
        <v>67</v>
      </c>
      <c r="B4" s="27"/>
      <c r="C4" s="28" t="s">
        <v>23</v>
      </c>
      <c r="D4" s="223" t="s">
        <v>358</v>
      </c>
      <c r="E4" s="223" t="s">
        <v>359</v>
      </c>
      <c r="F4" s="30"/>
      <c r="G4" s="30"/>
      <c r="H4" s="30"/>
      <c r="I4" s="224">
        <f>SUM(I5)</f>
        <v>385.57499999999999</v>
      </c>
      <c r="J4" s="225">
        <f>SUM(J5)</f>
        <v>0</v>
      </c>
      <c r="K4" s="32">
        <f>SUM(K5)</f>
        <v>385.57499999999999</v>
      </c>
      <c r="L4" s="43"/>
    </row>
    <row r="5" spans="1:12" ht="21" customHeight="1" thickBot="1" x14ac:dyDescent="0.3">
      <c r="A5" s="33"/>
      <c r="B5" s="226" t="s">
        <v>360</v>
      </c>
      <c r="C5" s="226"/>
      <c r="D5" s="227"/>
      <c r="E5" s="228" t="s">
        <v>361</v>
      </c>
      <c r="F5" s="229" t="s">
        <v>174</v>
      </c>
      <c r="G5" s="230">
        <v>7.5</v>
      </c>
      <c r="H5" s="231">
        <v>51.41</v>
      </c>
      <c r="I5" s="232">
        <f>SUM(K5)</f>
        <v>385.57499999999999</v>
      </c>
      <c r="J5" s="233"/>
      <c r="K5" s="234">
        <f>SUM(G5*H5)</f>
        <v>385.57499999999999</v>
      </c>
      <c r="L5" s="43" t="s">
        <v>362</v>
      </c>
    </row>
    <row r="6" spans="1:12" ht="21" customHeight="1" thickBot="1" x14ac:dyDescent="0.3">
      <c r="A6" s="33"/>
      <c r="B6" s="27"/>
      <c r="C6" s="28" t="s">
        <v>23</v>
      </c>
      <c r="D6" s="29" t="s">
        <v>34</v>
      </c>
      <c r="E6" s="29" t="s">
        <v>35</v>
      </c>
      <c r="F6" s="30"/>
      <c r="G6" s="30"/>
      <c r="H6" s="30"/>
      <c r="I6" s="31">
        <f>SUM(I7:I10)</f>
        <v>10213.98</v>
      </c>
      <c r="J6" s="31">
        <f>SUM(J7:J10)</f>
        <v>0</v>
      </c>
      <c r="K6" s="32">
        <f>SUM(K7:K10)</f>
        <v>10213.98</v>
      </c>
      <c r="L6" s="43"/>
    </row>
    <row r="7" spans="1:12" ht="21" customHeight="1" x14ac:dyDescent="0.25">
      <c r="A7" s="33" t="s">
        <v>67</v>
      </c>
      <c r="B7" s="44" t="s">
        <v>36</v>
      </c>
      <c r="C7" s="44"/>
      <c r="D7" s="45"/>
      <c r="E7" s="46" t="s">
        <v>37</v>
      </c>
      <c r="F7" s="47" t="s">
        <v>38</v>
      </c>
      <c r="G7" s="48">
        <f>SUM(42*0.5*0.8)</f>
        <v>16.8</v>
      </c>
      <c r="H7" s="49">
        <v>146.37</v>
      </c>
      <c r="I7" s="50">
        <f>SUM(K7)</f>
        <v>2459.0160000000001</v>
      </c>
      <c r="J7" s="41"/>
      <c r="K7" s="42">
        <f>SUM(G7*H7)</f>
        <v>2459.0160000000001</v>
      </c>
      <c r="L7" s="240"/>
    </row>
    <row r="8" spans="1:12" ht="21" customHeight="1" x14ac:dyDescent="0.25">
      <c r="A8" s="33"/>
      <c r="B8" s="52" t="s">
        <v>40</v>
      </c>
      <c r="C8" s="52"/>
      <c r="D8" s="53"/>
      <c r="E8" s="54" t="s">
        <v>41</v>
      </c>
      <c r="F8" s="55" t="s">
        <v>38</v>
      </c>
      <c r="G8" s="56">
        <f>SUM(G7)</f>
        <v>16.8</v>
      </c>
      <c r="H8" s="57">
        <v>233.84</v>
      </c>
      <c r="I8" s="58">
        <f t="shared" ref="I8:I10" si="0">SUM(K8)</f>
        <v>3928.5120000000002</v>
      </c>
      <c r="J8" s="59"/>
      <c r="K8" s="60">
        <f>SUM(G8*H8)</f>
        <v>3928.5120000000002</v>
      </c>
      <c r="L8" s="43" t="s">
        <v>367</v>
      </c>
    </row>
    <row r="9" spans="1:12" ht="21" customHeight="1" x14ac:dyDescent="0.25">
      <c r="A9" s="33"/>
      <c r="B9" s="52" t="s">
        <v>43</v>
      </c>
      <c r="C9" s="52"/>
      <c r="D9" s="53"/>
      <c r="E9" s="54" t="s">
        <v>44</v>
      </c>
      <c r="F9" s="55" t="s">
        <v>38</v>
      </c>
      <c r="G9" s="56">
        <f>SUM(G8)</f>
        <v>16.8</v>
      </c>
      <c r="H9" s="57">
        <v>15.35</v>
      </c>
      <c r="I9" s="58">
        <f t="shared" si="0"/>
        <v>257.88</v>
      </c>
      <c r="J9" s="59"/>
      <c r="K9" s="60">
        <f>SUM(G9*H9)</f>
        <v>257.88</v>
      </c>
      <c r="L9" s="43" t="s">
        <v>367</v>
      </c>
    </row>
    <row r="10" spans="1:12" ht="21" customHeight="1" thickBot="1" x14ac:dyDescent="0.3">
      <c r="A10" s="33"/>
      <c r="B10" s="52" t="s">
        <v>45</v>
      </c>
      <c r="C10" s="52"/>
      <c r="D10" s="53"/>
      <c r="E10" s="54" t="s">
        <v>46</v>
      </c>
      <c r="F10" s="55" t="s">
        <v>47</v>
      </c>
      <c r="G10" s="56">
        <f>SUM(16.8*1.7)</f>
        <v>28.56</v>
      </c>
      <c r="H10" s="57">
        <v>124.95</v>
      </c>
      <c r="I10" s="58">
        <f t="shared" si="0"/>
        <v>3568.5720000000001</v>
      </c>
      <c r="J10" s="59"/>
      <c r="K10" s="60">
        <f>SUM(G10*H10)</f>
        <v>3568.5720000000001</v>
      </c>
      <c r="L10" s="43" t="s">
        <v>367</v>
      </c>
    </row>
    <row r="11" spans="1:12" ht="21" customHeight="1" thickBot="1" x14ac:dyDescent="0.3">
      <c r="A11" s="33"/>
      <c r="B11" s="27"/>
      <c r="C11" s="28" t="s">
        <v>23</v>
      </c>
      <c r="D11" s="29" t="s">
        <v>49</v>
      </c>
      <c r="E11" s="29" t="s">
        <v>50</v>
      </c>
      <c r="F11" s="30"/>
      <c r="G11" s="30"/>
      <c r="H11" s="30"/>
      <c r="I11" s="31">
        <f>SUM(I12+I13+I14+I15)</f>
        <v>166201.7592</v>
      </c>
      <c r="J11" s="31">
        <f>SUM(J12:J15)</f>
        <v>0</v>
      </c>
      <c r="K11" s="32">
        <f>SUM(K12+K13+K14+K15)</f>
        <v>166201.7592</v>
      </c>
      <c r="L11" s="43" t="s">
        <v>367</v>
      </c>
    </row>
    <row r="12" spans="1:12" ht="21" customHeight="1" x14ac:dyDescent="0.25">
      <c r="A12" s="33" t="s">
        <v>67</v>
      </c>
      <c r="B12" s="61" t="s">
        <v>51</v>
      </c>
      <c r="C12" s="61" t="s">
        <v>52</v>
      </c>
      <c r="D12" s="62"/>
      <c r="E12" s="63" t="s">
        <v>53</v>
      </c>
      <c r="F12" s="64" t="s">
        <v>38</v>
      </c>
      <c r="G12" s="65">
        <f>SUM(40.2*0.5*0.8)</f>
        <v>16.080000000000002</v>
      </c>
      <c r="H12" s="66">
        <v>3320.1</v>
      </c>
      <c r="I12" s="50">
        <f>SUM(K12)</f>
        <v>53387.208000000006</v>
      </c>
      <c r="J12" s="41"/>
      <c r="K12" s="42">
        <f>SUM(G12*H12)</f>
        <v>53387.208000000006</v>
      </c>
      <c r="L12" s="240"/>
    </row>
    <row r="13" spans="1:12" ht="21" customHeight="1" x14ac:dyDescent="0.25">
      <c r="A13" s="33"/>
      <c r="B13" s="67" t="s">
        <v>55</v>
      </c>
      <c r="C13" s="67" t="s">
        <v>52</v>
      </c>
      <c r="D13" s="68"/>
      <c r="E13" s="69" t="s">
        <v>56</v>
      </c>
      <c r="F13" s="70" t="s">
        <v>57</v>
      </c>
      <c r="G13" s="71">
        <f>SUM(40.2*1.2)</f>
        <v>48.24</v>
      </c>
      <c r="H13" s="72">
        <v>1097.78</v>
      </c>
      <c r="I13" s="58">
        <f t="shared" ref="I13:I15" si="1">SUM(K13)</f>
        <v>52956.907200000001</v>
      </c>
      <c r="J13" s="59"/>
      <c r="K13" s="60">
        <f>SUM(G13*H13)</f>
        <v>52956.907200000001</v>
      </c>
      <c r="L13" s="43" t="s">
        <v>378</v>
      </c>
    </row>
    <row r="14" spans="1:12" ht="21" customHeight="1" x14ac:dyDescent="0.25">
      <c r="A14" s="33"/>
      <c r="B14" s="67" t="s">
        <v>59</v>
      </c>
      <c r="C14" s="67" t="s">
        <v>52</v>
      </c>
      <c r="D14" s="68"/>
      <c r="E14" s="69" t="s">
        <v>60</v>
      </c>
      <c r="F14" s="70" t="s">
        <v>47</v>
      </c>
      <c r="G14" s="71">
        <v>1.054</v>
      </c>
      <c r="H14" s="72">
        <v>34986</v>
      </c>
      <c r="I14" s="58">
        <f t="shared" si="1"/>
        <v>36875.243999999999</v>
      </c>
      <c r="J14" s="59"/>
      <c r="K14" s="60">
        <f>SUM(G14*H14)</f>
        <v>36875.243999999999</v>
      </c>
      <c r="L14" s="43" t="s">
        <v>382</v>
      </c>
    </row>
    <row r="15" spans="1:12" ht="21" customHeight="1" x14ac:dyDescent="0.25">
      <c r="A15" s="33"/>
      <c r="B15" s="76" t="s">
        <v>62</v>
      </c>
      <c r="C15" s="76"/>
      <c r="D15" s="77" t="s">
        <v>63</v>
      </c>
      <c r="E15" s="78" t="s">
        <v>64</v>
      </c>
      <c r="F15" s="79" t="s">
        <v>65</v>
      </c>
      <c r="G15" s="80">
        <v>42</v>
      </c>
      <c r="H15" s="81">
        <v>547.20000000000005</v>
      </c>
      <c r="I15" s="82">
        <f t="shared" si="1"/>
        <v>22982.400000000001</v>
      </c>
      <c r="J15" s="83"/>
      <c r="K15" s="84">
        <f>SUM(G15*H15)</f>
        <v>22982.400000000001</v>
      </c>
      <c r="L15" s="43" t="s">
        <v>386</v>
      </c>
    </row>
    <row r="16" spans="1:12" ht="21" customHeight="1" thickBot="1" x14ac:dyDescent="0.3">
      <c r="A16" s="33"/>
      <c r="B16" s="444"/>
      <c r="C16" s="226"/>
      <c r="D16" s="227"/>
      <c r="E16" s="228"/>
      <c r="F16" s="229"/>
      <c r="G16" s="230"/>
      <c r="H16" s="445"/>
      <c r="I16" s="446"/>
      <c r="J16" s="447"/>
      <c r="K16" s="448"/>
      <c r="L16" s="43" t="s">
        <v>386</v>
      </c>
    </row>
    <row r="17" spans="1:12" ht="21" customHeight="1" thickBot="1" x14ac:dyDescent="0.3">
      <c r="A17" s="33"/>
      <c r="B17" s="235"/>
      <c r="C17" s="236" t="s">
        <v>23</v>
      </c>
      <c r="D17" s="237" t="s">
        <v>363</v>
      </c>
      <c r="E17" s="237" t="s">
        <v>364</v>
      </c>
      <c r="F17" s="238"/>
      <c r="G17" s="238"/>
      <c r="H17" s="239"/>
      <c r="I17" s="224">
        <f>SUM(I18:I21)</f>
        <v>0</v>
      </c>
      <c r="J17" s="224">
        <f>SUM(J18:J21)</f>
        <v>-65574</v>
      </c>
      <c r="K17" s="32">
        <f>SUM(K18:K21)</f>
        <v>-65574</v>
      </c>
      <c r="L17" s="43" t="s">
        <v>386</v>
      </c>
    </row>
    <row r="18" spans="1:12" ht="21" customHeight="1" x14ac:dyDescent="0.25">
      <c r="A18" s="33"/>
      <c r="B18" s="34" t="s">
        <v>365</v>
      </c>
      <c r="C18" s="34"/>
      <c r="D18" s="35"/>
      <c r="E18" s="36" t="s">
        <v>366</v>
      </c>
      <c r="F18" s="37" t="s">
        <v>57</v>
      </c>
      <c r="G18" s="38">
        <v>300</v>
      </c>
      <c r="H18" s="39">
        <v>-22.49</v>
      </c>
      <c r="I18" s="40"/>
      <c r="J18" s="41">
        <f>SUM(K18)</f>
        <v>-6746.9999999999991</v>
      </c>
      <c r="K18" s="42">
        <f>SUM(G18*H18)</f>
        <v>-6746.9999999999991</v>
      </c>
      <c r="L18" s="43" t="s">
        <v>386</v>
      </c>
    </row>
    <row r="19" spans="1:12" ht="21" customHeight="1" x14ac:dyDescent="0.25">
      <c r="A19" s="33"/>
      <c r="B19" s="241" t="s">
        <v>368</v>
      </c>
      <c r="C19" s="241"/>
      <c r="D19" s="242"/>
      <c r="E19" s="243" t="s">
        <v>369</v>
      </c>
      <c r="F19" s="244" t="s">
        <v>57</v>
      </c>
      <c r="G19" s="245">
        <v>315</v>
      </c>
      <c r="H19" s="246">
        <v>-55.34</v>
      </c>
      <c r="I19" s="247"/>
      <c r="J19" s="59">
        <f>SUM(K19)</f>
        <v>-17432.100000000002</v>
      </c>
      <c r="K19" s="60">
        <f>SUM(G19*H19)</f>
        <v>-17432.100000000002</v>
      </c>
      <c r="L19" s="43" t="s">
        <v>386</v>
      </c>
    </row>
    <row r="20" spans="1:12" ht="21" customHeight="1" x14ac:dyDescent="0.25">
      <c r="A20" s="33"/>
      <c r="B20" s="248" t="s">
        <v>370</v>
      </c>
      <c r="C20" s="248"/>
      <c r="D20" s="249"/>
      <c r="E20" s="250" t="s">
        <v>371</v>
      </c>
      <c r="F20" s="251" t="s">
        <v>174</v>
      </c>
      <c r="G20" s="252">
        <v>150</v>
      </c>
      <c r="H20" s="253">
        <v>-215.99</v>
      </c>
      <c r="I20" s="254"/>
      <c r="J20" s="59">
        <f>SUM(K20)</f>
        <v>-32398.5</v>
      </c>
      <c r="K20" s="60">
        <f>SUM(G20*H20)</f>
        <v>-32398.5</v>
      </c>
      <c r="L20" s="43" t="s">
        <v>386</v>
      </c>
    </row>
    <row r="21" spans="1:12" ht="21" customHeight="1" thickBot="1" x14ac:dyDescent="0.3">
      <c r="A21" s="33"/>
      <c r="B21" s="255" t="s">
        <v>372</v>
      </c>
      <c r="C21" s="255"/>
      <c r="D21" s="256"/>
      <c r="E21" s="257" t="s">
        <v>373</v>
      </c>
      <c r="F21" s="258" t="s">
        <v>174</v>
      </c>
      <c r="G21" s="259">
        <v>157.5</v>
      </c>
      <c r="H21" s="260">
        <v>-57.12</v>
      </c>
      <c r="I21" s="261"/>
      <c r="J21" s="83">
        <f>SUM(K21)</f>
        <v>-8996.4</v>
      </c>
      <c r="K21" s="84">
        <f>SUM(G21*H21)</f>
        <v>-8996.4</v>
      </c>
      <c r="L21" s="43" t="s">
        <v>386</v>
      </c>
    </row>
    <row r="22" spans="1:12" ht="21" customHeight="1" thickBot="1" x14ac:dyDescent="0.3">
      <c r="A22" s="33"/>
      <c r="B22" s="235"/>
      <c r="C22" s="236" t="s">
        <v>23</v>
      </c>
      <c r="D22" s="237" t="s">
        <v>374</v>
      </c>
      <c r="E22" s="237" t="s">
        <v>375</v>
      </c>
      <c r="F22" s="238"/>
      <c r="G22" s="238"/>
      <c r="H22" s="239"/>
      <c r="I22" s="224">
        <f>SUM(I23:I33)</f>
        <v>211111.43520000001</v>
      </c>
      <c r="J22" s="224">
        <f>SUM(J23:J33)</f>
        <v>-7737.98</v>
      </c>
      <c r="K22" s="32">
        <f>SUM(K23:K33)</f>
        <v>203373.4552</v>
      </c>
      <c r="L22" s="43" t="s">
        <v>386</v>
      </c>
    </row>
    <row r="23" spans="1:12" ht="21" customHeight="1" x14ac:dyDescent="0.25">
      <c r="A23" s="33"/>
      <c r="B23" s="44" t="s">
        <v>376</v>
      </c>
      <c r="C23" s="44"/>
      <c r="D23" s="45"/>
      <c r="E23" s="46" t="s">
        <v>377</v>
      </c>
      <c r="F23" s="47" t="s">
        <v>57</v>
      </c>
      <c r="G23" s="48">
        <v>39.840000000000003</v>
      </c>
      <c r="H23" s="49">
        <v>131.19999999999999</v>
      </c>
      <c r="I23" s="50">
        <f>SUM(K23)</f>
        <v>5227.0079999999998</v>
      </c>
      <c r="J23" s="262"/>
      <c r="K23" s="42">
        <f t="shared" ref="K23:K32" si="2">SUM(G23*H23)</f>
        <v>5227.0079999999998</v>
      </c>
      <c r="L23" s="43" t="s">
        <v>386</v>
      </c>
    </row>
    <row r="24" spans="1:12" ht="21" customHeight="1" x14ac:dyDescent="0.25">
      <c r="A24" s="33" t="s">
        <v>67</v>
      </c>
      <c r="B24" s="52" t="s">
        <v>379</v>
      </c>
      <c r="C24" s="52"/>
      <c r="D24" s="53" t="s">
        <v>380</v>
      </c>
      <c r="E24" s="54" t="s">
        <v>381</v>
      </c>
      <c r="F24" s="55" t="s">
        <v>47</v>
      </c>
      <c r="G24" s="56">
        <f>SUM(8*25)</f>
        <v>200</v>
      </c>
      <c r="H24" s="57">
        <v>598.5</v>
      </c>
      <c r="I24" s="58">
        <f t="shared" ref="I24:I30" si="3">SUM(K24)</f>
        <v>119700</v>
      </c>
      <c r="J24" s="263"/>
      <c r="K24" s="60">
        <f t="shared" si="2"/>
        <v>119700</v>
      </c>
      <c r="L24" s="240"/>
    </row>
    <row r="25" spans="1:12" ht="21" customHeight="1" x14ac:dyDescent="0.25">
      <c r="A25" s="33"/>
      <c r="B25" s="52" t="s">
        <v>383</v>
      </c>
      <c r="C25" s="52"/>
      <c r="D25" s="53" t="s">
        <v>384</v>
      </c>
      <c r="E25" s="54" t="s">
        <v>385</v>
      </c>
      <c r="F25" s="55" t="s">
        <v>38</v>
      </c>
      <c r="G25" s="56">
        <v>9.4</v>
      </c>
      <c r="H25" s="57">
        <v>2785.9</v>
      </c>
      <c r="I25" s="58">
        <f t="shared" si="3"/>
        <v>26187.460000000003</v>
      </c>
      <c r="J25" s="263"/>
      <c r="K25" s="60">
        <f t="shared" si="2"/>
        <v>26187.460000000003</v>
      </c>
      <c r="L25" s="43" t="s">
        <v>405</v>
      </c>
    </row>
    <row r="26" spans="1:12" ht="21" customHeight="1" x14ac:dyDescent="0.25">
      <c r="A26" s="33"/>
      <c r="B26" s="52" t="s">
        <v>387</v>
      </c>
      <c r="C26" s="52"/>
      <c r="D26" s="53"/>
      <c r="E26" s="54" t="s">
        <v>388</v>
      </c>
      <c r="F26" s="55" t="s">
        <v>57</v>
      </c>
      <c r="G26" s="56">
        <v>52</v>
      </c>
      <c r="H26" s="57">
        <v>245.5</v>
      </c>
      <c r="I26" s="58">
        <f t="shared" si="3"/>
        <v>12766</v>
      </c>
      <c r="J26" s="263"/>
      <c r="K26" s="60">
        <f t="shared" si="2"/>
        <v>12766</v>
      </c>
      <c r="L26" s="43" t="s">
        <v>405</v>
      </c>
    </row>
    <row r="27" spans="1:12" ht="21" customHeight="1" x14ac:dyDescent="0.25">
      <c r="A27" s="33"/>
      <c r="B27" s="52" t="s">
        <v>389</v>
      </c>
      <c r="C27" s="52"/>
      <c r="D27" s="53"/>
      <c r="E27" s="54" t="s">
        <v>390</v>
      </c>
      <c r="F27" s="55" t="s">
        <v>57</v>
      </c>
      <c r="G27" s="56">
        <f>SUM(23.5+2+3.5)*0.15</f>
        <v>4.3499999999999996</v>
      </c>
      <c r="H27" s="57">
        <v>475.5</v>
      </c>
      <c r="I27" s="58">
        <f t="shared" si="3"/>
        <v>2068.4249999999997</v>
      </c>
      <c r="J27" s="263"/>
      <c r="K27" s="60">
        <f t="shared" si="2"/>
        <v>2068.4249999999997</v>
      </c>
      <c r="L27" s="43" t="s">
        <v>405</v>
      </c>
    </row>
    <row r="28" spans="1:12" ht="21" customHeight="1" x14ac:dyDescent="0.25">
      <c r="A28" s="33"/>
      <c r="B28" s="52" t="s">
        <v>391</v>
      </c>
      <c r="C28" s="52"/>
      <c r="D28" s="53"/>
      <c r="E28" s="54" t="s">
        <v>392</v>
      </c>
      <c r="F28" s="55" t="s">
        <v>57</v>
      </c>
      <c r="G28" s="56">
        <v>4.3499999999999996</v>
      </c>
      <c r="H28" s="57">
        <v>125.4</v>
      </c>
      <c r="I28" s="58">
        <f t="shared" si="3"/>
        <v>545.49</v>
      </c>
      <c r="J28" s="263"/>
      <c r="K28" s="60">
        <f t="shared" si="2"/>
        <v>545.49</v>
      </c>
      <c r="L28" s="43" t="s">
        <v>405</v>
      </c>
    </row>
    <row r="29" spans="1:12" ht="32.450000000000003" customHeight="1" x14ac:dyDescent="0.25">
      <c r="A29" s="33"/>
      <c r="B29" s="52" t="s">
        <v>393</v>
      </c>
      <c r="C29" s="52"/>
      <c r="D29" s="53"/>
      <c r="E29" s="54" t="s">
        <v>394</v>
      </c>
      <c r="F29" s="55" t="s">
        <v>57</v>
      </c>
      <c r="G29" s="56">
        <v>7.5</v>
      </c>
      <c r="H29" s="57">
        <v>1698.8</v>
      </c>
      <c r="I29" s="58">
        <f t="shared" si="3"/>
        <v>12741</v>
      </c>
      <c r="J29" s="263"/>
      <c r="K29" s="60">
        <f t="shared" si="2"/>
        <v>12741</v>
      </c>
      <c r="L29" s="43" t="s">
        <v>405</v>
      </c>
    </row>
    <row r="30" spans="1:12" ht="30.6" customHeight="1" x14ac:dyDescent="0.25">
      <c r="A30" s="33"/>
      <c r="B30" s="52" t="s">
        <v>55</v>
      </c>
      <c r="C30" s="52"/>
      <c r="D30" s="53"/>
      <c r="E30" s="54" t="s">
        <v>395</v>
      </c>
      <c r="F30" s="55" t="s">
        <v>57</v>
      </c>
      <c r="G30" s="56">
        <v>39.840000000000003</v>
      </c>
      <c r="H30" s="57">
        <v>218.66</v>
      </c>
      <c r="I30" s="58">
        <f t="shared" si="3"/>
        <v>8711.4144000000015</v>
      </c>
      <c r="J30" s="263"/>
      <c r="K30" s="60">
        <f t="shared" si="2"/>
        <v>8711.4144000000015</v>
      </c>
      <c r="L30" s="43" t="s">
        <v>405</v>
      </c>
    </row>
    <row r="31" spans="1:12" ht="21" customHeight="1" x14ac:dyDescent="0.25">
      <c r="A31" s="33"/>
      <c r="B31" s="52" t="s">
        <v>84</v>
      </c>
      <c r="C31" s="52"/>
      <c r="D31" s="53"/>
      <c r="E31" s="54" t="s">
        <v>396</v>
      </c>
      <c r="F31" s="55" t="s">
        <v>57</v>
      </c>
      <c r="G31" s="56">
        <f>SUM(33.2*2.4)/2</f>
        <v>39.840000000000003</v>
      </c>
      <c r="H31" s="57">
        <v>241.87</v>
      </c>
      <c r="I31" s="58">
        <f t="shared" ref="I31:I32" si="4">SUM(K31)</f>
        <v>9636.1008000000002</v>
      </c>
      <c r="J31" s="263"/>
      <c r="K31" s="60">
        <f t="shared" si="2"/>
        <v>9636.1008000000002</v>
      </c>
      <c r="L31" s="43" t="s">
        <v>405</v>
      </c>
    </row>
    <row r="32" spans="1:12" ht="21" customHeight="1" x14ac:dyDescent="0.25">
      <c r="A32" s="33"/>
      <c r="B32" s="264" t="s">
        <v>397</v>
      </c>
      <c r="C32" s="264"/>
      <c r="D32" s="265"/>
      <c r="E32" s="266" t="s">
        <v>398</v>
      </c>
      <c r="F32" s="267" t="s">
        <v>57</v>
      </c>
      <c r="G32" s="268">
        <v>40.1</v>
      </c>
      <c r="H32" s="269">
        <v>337.37</v>
      </c>
      <c r="I32" s="58">
        <f t="shared" si="4"/>
        <v>13528.537</v>
      </c>
      <c r="J32" s="263"/>
      <c r="K32" s="60">
        <f t="shared" si="2"/>
        <v>13528.537</v>
      </c>
      <c r="L32" s="43" t="s">
        <v>405</v>
      </c>
    </row>
    <row r="33" spans="1:12" ht="21" customHeight="1" thickBot="1" x14ac:dyDescent="0.3">
      <c r="A33" s="33"/>
      <c r="B33" s="270" t="s">
        <v>399</v>
      </c>
      <c r="C33" s="270"/>
      <c r="D33" s="271"/>
      <c r="E33" s="272" t="s">
        <v>400</v>
      </c>
      <c r="F33" s="273" t="s">
        <v>196</v>
      </c>
      <c r="G33" s="274">
        <v>1</v>
      </c>
      <c r="H33" s="275">
        <v>-7737.98</v>
      </c>
      <c r="I33" s="276"/>
      <c r="J33" s="59">
        <f>SUM(K33)</f>
        <v>-7737.98</v>
      </c>
      <c r="K33" s="84">
        <f>SUM(G33*H33)</f>
        <v>-7737.98</v>
      </c>
      <c r="L33" s="43" t="s">
        <v>405</v>
      </c>
    </row>
    <row r="34" spans="1:12" ht="21" customHeight="1" thickBot="1" x14ac:dyDescent="0.3">
      <c r="A34" s="33"/>
      <c r="B34" s="235"/>
      <c r="C34" s="236" t="s">
        <v>23</v>
      </c>
      <c r="D34" s="237" t="s">
        <v>401</v>
      </c>
      <c r="E34" s="237" t="s">
        <v>402</v>
      </c>
      <c r="F34" s="238"/>
      <c r="G34" s="238"/>
      <c r="H34" s="239"/>
      <c r="I34" s="224">
        <f>SUM(I35:I48)</f>
        <v>203449.38999999998</v>
      </c>
      <c r="J34" s="224">
        <f>SUM(J35:J48)</f>
        <v>-78906.48000000001</v>
      </c>
      <c r="K34" s="32">
        <f>SUM(K35:K48)</f>
        <v>124542.91</v>
      </c>
      <c r="L34" s="43" t="s">
        <v>405</v>
      </c>
    </row>
    <row r="35" spans="1:12" ht="21" customHeight="1" x14ac:dyDescent="0.25">
      <c r="A35" s="33"/>
      <c r="B35" s="44" t="s">
        <v>403</v>
      </c>
      <c r="C35" s="44"/>
      <c r="D35" s="45"/>
      <c r="E35" s="46" t="s">
        <v>404</v>
      </c>
      <c r="F35" s="47" t="s">
        <v>174</v>
      </c>
      <c r="G35" s="48">
        <v>28</v>
      </c>
      <c r="H35" s="49">
        <v>107.34</v>
      </c>
      <c r="I35" s="50">
        <f>SUM(K35)</f>
        <v>3005.52</v>
      </c>
      <c r="J35" s="262"/>
      <c r="K35" s="42">
        <f t="shared" ref="K35:K43" si="5">SUM(G35*H35)</f>
        <v>3005.52</v>
      </c>
      <c r="L35" s="43" t="s">
        <v>405</v>
      </c>
    </row>
    <row r="36" spans="1:12" ht="21" customHeight="1" x14ac:dyDescent="0.25">
      <c r="A36" s="33"/>
      <c r="B36" s="264" t="s">
        <v>406</v>
      </c>
      <c r="C36" s="264"/>
      <c r="D36" s="265"/>
      <c r="E36" s="266" t="s">
        <v>407</v>
      </c>
      <c r="F36" s="267" t="s">
        <v>196</v>
      </c>
      <c r="G36" s="268">
        <v>56</v>
      </c>
      <c r="H36" s="269">
        <v>89.27</v>
      </c>
      <c r="I36" s="58">
        <f>SUM(K36)</f>
        <v>4999.12</v>
      </c>
      <c r="J36" s="263"/>
      <c r="K36" s="60">
        <f t="shared" si="5"/>
        <v>4999.12</v>
      </c>
      <c r="L36" s="43" t="s">
        <v>405</v>
      </c>
    </row>
    <row r="37" spans="1:12" ht="21" customHeight="1" x14ac:dyDescent="0.25">
      <c r="A37" s="33"/>
      <c r="B37" s="248" t="s">
        <v>408</v>
      </c>
      <c r="C37" s="248" t="s">
        <v>52</v>
      </c>
      <c r="D37" s="249" t="s">
        <v>409</v>
      </c>
      <c r="E37" s="250" t="s">
        <v>410</v>
      </c>
      <c r="F37" s="251" t="s">
        <v>174</v>
      </c>
      <c r="G37" s="252">
        <v>-46</v>
      </c>
      <c r="H37" s="253">
        <v>255.06</v>
      </c>
      <c r="I37" s="254"/>
      <c r="J37" s="59">
        <f>SUM(K37)</f>
        <v>-11732.76</v>
      </c>
      <c r="K37" s="60">
        <f t="shared" si="5"/>
        <v>-11732.76</v>
      </c>
      <c r="L37" s="43" t="s">
        <v>405</v>
      </c>
    </row>
    <row r="38" spans="1:12" ht="21" customHeight="1" x14ac:dyDescent="0.25">
      <c r="A38" s="33"/>
      <c r="B38" s="241" t="s">
        <v>411</v>
      </c>
      <c r="C38" s="241" t="s">
        <v>412</v>
      </c>
      <c r="D38" s="242" t="s">
        <v>413</v>
      </c>
      <c r="E38" s="243" t="s">
        <v>414</v>
      </c>
      <c r="F38" s="244" t="s">
        <v>196</v>
      </c>
      <c r="G38" s="245">
        <v>-48</v>
      </c>
      <c r="H38" s="246">
        <v>204.05</v>
      </c>
      <c r="I38" s="247"/>
      <c r="J38" s="59">
        <f>SUM(K38)</f>
        <v>-9794.4000000000015</v>
      </c>
      <c r="K38" s="60">
        <f t="shared" si="5"/>
        <v>-9794.4000000000015</v>
      </c>
      <c r="L38" s="43" t="s">
        <v>405</v>
      </c>
    </row>
    <row r="39" spans="1:12" ht="21" customHeight="1" x14ac:dyDescent="0.25">
      <c r="A39" s="33" t="s">
        <v>67</v>
      </c>
      <c r="B39" s="264" t="s">
        <v>415</v>
      </c>
      <c r="C39" s="264" t="s">
        <v>52</v>
      </c>
      <c r="D39" s="265"/>
      <c r="E39" s="54" t="s">
        <v>416</v>
      </c>
      <c r="F39" s="267" t="s">
        <v>174</v>
      </c>
      <c r="G39" s="268">
        <v>46</v>
      </c>
      <c r="H39" s="269">
        <v>255.06</v>
      </c>
      <c r="I39" s="277">
        <f>SUM(K39)</f>
        <v>11732.76</v>
      </c>
      <c r="J39" s="263"/>
      <c r="K39" s="60">
        <f t="shared" si="5"/>
        <v>11732.76</v>
      </c>
      <c r="L39" s="43"/>
    </row>
    <row r="40" spans="1:12" ht="21" customHeight="1" x14ac:dyDescent="0.25">
      <c r="A40" s="33"/>
      <c r="B40" s="264" t="s">
        <v>417</v>
      </c>
      <c r="C40" s="264" t="s">
        <v>412</v>
      </c>
      <c r="D40" s="265"/>
      <c r="E40" s="266" t="s">
        <v>418</v>
      </c>
      <c r="F40" s="267" t="s">
        <v>196</v>
      </c>
      <c r="G40" s="268">
        <v>11.5</v>
      </c>
      <c r="H40" s="269">
        <v>9875</v>
      </c>
      <c r="I40" s="277">
        <f t="shared" ref="I40:I43" si="6">SUM(K40)</f>
        <v>113562.5</v>
      </c>
      <c r="J40" s="263"/>
      <c r="K40" s="60">
        <f t="shared" si="5"/>
        <v>113562.5</v>
      </c>
      <c r="L40" s="43" t="s">
        <v>405</v>
      </c>
    </row>
    <row r="41" spans="1:12" ht="21" customHeight="1" x14ac:dyDescent="0.25">
      <c r="A41" s="20"/>
      <c r="B41" s="264" t="s">
        <v>419</v>
      </c>
      <c r="C41" s="264" t="s">
        <v>412</v>
      </c>
      <c r="D41" s="265"/>
      <c r="E41" s="266" t="s">
        <v>420</v>
      </c>
      <c r="F41" s="267" t="s">
        <v>196</v>
      </c>
      <c r="G41" s="268">
        <v>4</v>
      </c>
      <c r="H41" s="269">
        <v>2457</v>
      </c>
      <c r="I41" s="277">
        <f t="shared" si="6"/>
        <v>9828</v>
      </c>
      <c r="J41" s="263"/>
      <c r="K41" s="60">
        <f t="shared" si="5"/>
        <v>9828</v>
      </c>
      <c r="L41" s="21"/>
    </row>
    <row r="42" spans="1:12" ht="21" customHeight="1" x14ac:dyDescent="0.25">
      <c r="A42" s="33"/>
      <c r="B42" s="264" t="s">
        <v>421</v>
      </c>
      <c r="C42" s="264" t="s">
        <v>412</v>
      </c>
      <c r="D42" s="265"/>
      <c r="E42" s="266" t="s">
        <v>422</v>
      </c>
      <c r="F42" s="267" t="s">
        <v>174</v>
      </c>
      <c r="G42" s="268">
        <v>32</v>
      </c>
      <c r="H42" s="269">
        <v>356.8</v>
      </c>
      <c r="I42" s="277">
        <f t="shared" si="6"/>
        <v>11417.6</v>
      </c>
      <c r="J42" s="263"/>
      <c r="K42" s="60">
        <f t="shared" si="5"/>
        <v>11417.6</v>
      </c>
      <c r="L42" s="291"/>
    </row>
    <row r="43" spans="1:12" ht="21" customHeight="1" x14ac:dyDescent="0.25">
      <c r="A43" s="33"/>
      <c r="B43" s="264" t="s">
        <v>423</v>
      </c>
      <c r="C43" s="264" t="s">
        <v>52</v>
      </c>
      <c r="D43" s="265" t="s">
        <v>424</v>
      </c>
      <c r="E43" s="266" t="s">
        <v>425</v>
      </c>
      <c r="F43" s="267" t="s">
        <v>174</v>
      </c>
      <c r="G43" s="268">
        <v>32</v>
      </c>
      <c r="H43" s="269">
        <v>245.2</v>
      </c>
      <c r="I43" s="277">
        <f t="shared" si="6"/>
        <v>7846.4</v>
      </c>
      <c r="J43" s="263"/>
      <c r="K43" s="60">
        <f t="shared" si="5"/>
        <v>7846.4</v>
      </c>
      <c r="L43" s="43" t="s">
        <v>405</v>
      </c>
    </row>
    <row r="44" spans="1:12" ht="21" customHeight="1" x14ac:dyDescent="0.25">
      <c r="A44" s="33"/>
      <c r="B44" s="248" t="s">
        <v>124</v>
      </c>
      <c r="C44" s="248"/>
      <c r="D44" s="249"/>
      <c r="E44" s="250" t="s">
        <v>426</v>
      </c>
      <c r="F44" s="251" t="s">
        <v>174</v>
      </c>
      <c r="G44" s="252">
        <v>44</v>
      </c>
      <c r="H44" s="253">
        <v>-427.23</v>
      </c>
      <c r="I44" s="254"/>
      <c r="J44" s="59">
        <f>SUM(K44)</f>
        <v>-18798.120000000003</v>
      </c>
      <c r="K44" s="60">
        <f>SUM(G44*H44)</f>
        <v>-18798.120000000003</v>
      </c>
      <c r="L44" s="43" t="s">
        <v>405</v>
      </c>
    </row>
    <row r="45" spans="1:12" ht="21" customHeight="1" x14ac:dyDescent="0.25">
      <c r="A45" s="33"/>
      <c r="B45" s="241" t="s">
        <v>128</v>
      </c>
      <c r="C45" s="241"/>
      <c r="D45" s="242" t="s">
        <v>427</v>
      </c>
      <c r="E45" s="243" t="s">
        <v>428</v>
      </c>
      <c r="F45" s="244" t="s">
        <v>196</v>
      </c>
      <c r="G45" s="245">
        <v>180</v>
      </c>
      <c r="H45" s="246">
        <v>-214.34</v>
      </c>
      <c r="I45" s="247"/>
      <c r="J45" s="59">
        <f>SUM(K45)</f>
        <v>-38581.199999999997</v>
      </c>
      <c r="K45" s="60">
        <f>SUM(G45*H45)</f>
        <v>-38581.199999999997</v>
      </c>
      <c r="L45" s="43" t="s">
        <v>405</v>
      </c>
    </row>
    <row r="46" spans="1:12" ht="21" customHeight="1" x14ac:dyDescent="0.25">
      <c r="A46" s="33"/>
      <c r="B46" s="52" t="s">
        <v>134</v>
      </c>
      <c r="C46" s="52"/>
      <c r="D46" s="53"/>
      <c r="E46" s="278" t="s">
        <v>429</v>
      </c>
      <c r="F46" s="55" t="s">
        <v>65</v>
      </c>
      <c r="G46" s="56">
        <v>16.5</v>
      </c>
      <c r="H46" s="57">
        <v>255.06</v>
      </c>
      <c r="I46" s="58">
        <f>SUM(K46)</f>
        <v>4208.49</v>
      </c>
      <c r="J46" s="263"/>
      <c r="K46" s="60">
        <f>SUM(G46*H46)</f>
        <v>4208.49</v>
      </c>
      <c r="L46" s="43" t="s">
        <v>405</v>
      </c>
    </row>
    <row r="47" spans="1:12" ht="21" customHeight="1" x14ac:dyDescent="0.25">
      <c r="A47" s="33"/>
      <c r="B47" s="52" t="s">
        <v>430</v>
      </c>
      <c r="C47" s="52" t="s">
        <v>174</v>
      </c>
      <c r="D47" s="53"/>
      <c r="E47" s="266" t="s">
        <v>431</v>
      </c>
      <c r="F47" s="267" t="s">
        <v>196</v>
      </c>
      <c r="G47" s="268">
        <v>4</v>
      </c>
      <c r="H47" s="269">
        <v>8598</v>
      </c>
      <c r="I47" s="58">
        <f t="shared" ref="I47:I48" si="7">SUM(K47)</f>
        <v>34392</v>
      </c>
      <c r="J47" s="263"/>
      <c r="K47" s="60">
        <f>SUM(G47*H47)</f>
        <v>34392</v>
      </c>
      <c r="L47" s="43" t="s">
        <v>405</v>
      </c>
    </row>
    <row r="48" spans="1:12" ht="21" customHeight="1" thickBot="1" x14ac:dyDescent="0.3">
      <c r="A48" s="33"/>
      <c r="B48" s="279" t="s">
        <v>432</v>
      </c>
      <c r="C48" s="279" t="s">
        <v>174</v>
      </c>
      <c r="D48" s="280"/>
      <c r="E48" s="281" t="s">
        <v>433</v>
      </c>
      <c r="F48" s="282" t="s">
        <v>196</v>
      </c>
      <c r="G48" s="283">
        <v>1</v>
      </c>
      <c r="H48" s="284">
        <v>2457</v>
      </c>
      <c r="I48" s="82">
        <f t="shared" si="7"/>
        <v>2457</v>
      </c>
      <c r="J48" s="285"/>
      <c r="K48" s="84">
        <f>SUM(G48*H48)</f>
        <v>2457</v>
      </c>
      <c r="L48" s="43" t="s">
        <v>405</v>
      </c>
    </row>
    <row r="49" spans="1:12" ht="21" customHeight="1" thickBot="1" x14ac:dyDescent="0.3">
      <c r="A49" s="33"/>
      <c r="B49" s="235"/>
      <c r="C49" s="236" t="s">
        <v>23</v>
      </c>
      <c r="D49" s="237" t="s">
        <v>434</v>
      </c>
      <c r="E49" s="237" t="s">
        <v>435</v>
      </c>
      <c r="F49" s="238"/>
      <c r="G49" s="238"/>
      <c r="H49" s="239"/>
      <c r="I49" s="224">
        <f>SUM(I50)</f>
        <v>11584</v>
      </c>
      <c r="J49" s="225">
        <f>SUM(J50)</f>
        <v>0</v>
      </c>
      <c r="K49" s="32">
        <f>SUM(K50)</f>
        <v>11584</v>
      </c>
      <c r="L49" s="43" t="s">
        <v>405</v>
      </c>
    </row>
    <row r="50" spans="1:12" ht="21" customHeight="1" x14ac:dyDescent="0.25">
      <c r="A50" s="33"/>
      <c r="B50" s="44" t="s">
        <v>145</v>
      </c>
      <c r="C50" s="44" t="s">
        <v>52</v>
      </c>
      <c r="D50" s="45" t="s">
        <v>436</v>
      </c>
      <c r="E50" s="46" t="s">
        <v>437</v>
      </c>
      <c r="F50" s="47" t="s">
        <v>47</v>
      </c>
      <c r="G50" s="48">
        <v>200</v>
      </c>
      <c r="H50" s="49">
        <v>57.92</v>
      </c>
      <c r="I50" s="50">
        <f>SUM(K50)</f>
        <v>11584</v>
      </c>
      <c r="J50" s="262"/>
      <c r="K50" s="42">
        <f>SUM(G50*H50)</f>
        <v>11584</v>
      </c>
      <c r="L50" s="43" t="s">
        <v>405</v>
      </c>
    </row>
    <row r="51" spans="1:12" ht="21" customHeight="1" thickBot="1" x14ac:dyDescent="0.3">
      <c r="A51" s="33"/>
      <c r="B51" s="286"/>
      <c r="C51" s="287" t="s">
        <v>23</v>
      </c>
      <c r="D51" s="288" t="s">
        <v>438</v>
      </c>
      <c r="E51" s="288" t="s">
        <v>439</v>
      </c>
      <c r="F51" s="286"/>
      <c r="G51" s="286"/>
      <c r="H51" s="286"/>
      <c r="I51" s="289"/>
      <c r="J51" s="289"/>
      <c r="K51" s="289"/>
      <c r="L51" s="43" t="s">
        <v>405</v>
      </c>
    </row>
    <row r="52" spans="1:12" ht="21" customHeight="1" thickBot="1" x14ac:dyDescent="0.3">
      <c r="A52" s="33"/>
      <c r="B52" s="235"/>
      <c r="C52" s="236" t="s">
        <v>23</v>
      </c>
      <c r="D52" s="290" t="s">
        <v>440</v>
      </c>
      <c r="E52" s="290" t="s">
        <v>441</v>
      </c>
      <c r="F52" s="238"/>
      <c r="G52" s="238"/>
      <c r="H52" s="239"/>
      <c r="I52" s="31">
        <f>SUM(I53:I71)</f>
        <v>30990</v>
      </c>
      <c r="J52" s="31">
        <f>SUM(J53:J72)</f>
        <v>-107781.18000000001</v>
      </c>
      <c r="K52" s="32">
        <f>SUM(K53:K72)</f>
        <v>-76791.180000000008</v>
      </c>
      <c r="L52" s="43" t="s">
        <v>405</v>
      </c>
    </row>
    <row r="53" spans="1:12" ht="21" customHeight="1" x14ac:dyDescent="0.25">
      <c r="A53" s="33"/>
      <c r="B53" s="292" t="s">
        <v>379</v>
      </c>
      <c r="C53" s="34" t="s">
        <v>52</v>
      </c>
      <c r="D53" s="35" t="s">
        <v>442</v>
      </c>
      <c r="E53" s="36" t="s">
        <v>443</v>
      </c>
      <c r="F53" s="37" t="s">
        <v>174</v>
      </c>
      <c r="G53" s="38">
        <v>-67</v>
      </c>
      <c r="H53" s="39">
        <v>124.06</v>
      </c>
      <c r="I53" s="40"/>
      <c r="J53" s="293">
        <f>SUM(K53)</f>
        <v>-8312.02</v>
      </c>
      <c r="K53" s="294">
        <f t="shared" ref="K53:K71" si="8">SUM(G53*H53)</f>
        <v>-8312.02</v>
      </c>
      <c r="L53" s="43" t="s">
        <v>405</v>
      </c>
    </row>
    <row r="54" spans="1:12" ht="21" customHeight="1" x14ac:dyDescent="0.25">
      <c r="A54" s="33"/>
      <c r="B54" s="295" t="s">
        <v>51</v>
      </c>
      <c r="C54" s="241"/>
      <c r="D54" s="242"/>
      <c r="E54" s="243" t="s">
        <v>444</v>
      </c>
      <c r="F54" s="244" t="s">
        <v>196</v>
      </c>
      <c r="G54" s="245">
        <v>-1</v>
      </c>
      <c r="H54" s="246">
        <v>1296.8</v>
      </c>
      <c r="I54" s="247"/>
      <c r="J54" s="296">
        <f>SUM(K54)</f>
        <v>-1296.8</v>
      </c>
      <c r="K54" s="60">
        <f t="shared" si="8"/>
        <v>-1296.8</v>
      </c>
      <c r="L54" s="43" t="s">
        <v>405</v>
      </c>
    </row>
    <row r="55" spans="1:12" ht="21" customHeight="1" x14ac:dyDescent="0.25">
      <c r="A55" s="33"/>
      <c r="B55" s="295" t="s">
        <v>365</v>
      </c>
      <c r="C55" s="241"/>
      <c r="D55" s="242"/>
      <c r="E55" s="243" t="s">
        <v>445</v>
      </c>
      <c r="F55" s="244" t="s">
        <v>196</v>
      </c>
      <c r="G55" s="245">
        <v>-10</v>
      </c>
      <c r="H55" s="246">
        <v>1705.57</v>
      </c>
      <c r="I55" s="247"/>
      <c r="J55" s="296">
        <f>SUM(K55)</f>
        <v>-17055.7</v>
      </c>
      <c r="K55" s="60">
        <f t="shared" si="8"/>
        <v>-17055.7</v>
      </c>
      <c r="L55" s="43" t="s">
        <v>405</v>
      </c>
    </row>
    <row r="56" spans="1:12" ht="21" customHeight="1" x14ac:dyDescent="0.25">
      <c r="A56" s="33"/>
      <c r="B56" s="295" t="s">
        <v>368</v>
      </c>
      <c r="C56" s="241" t="s">
        <v>412</v>
      </c>
      <c r="D56" s="242" t="s">
        <v>446</v>
      </c>
      <c r="E56" s="243" t="s">
        <v>447</v>
      </c>
      <c r="F56" s="244" t="s">
        <v>196</v>
      </c>
      <c r="G56" s="245">
        <v>-2</v>
      </c>
      <c r="H56" s="246">
        <v>2343.71</v>
      </c>
      <c r="I56" s="247"/>
      <c r="J56" s="296">
        <f t="shared" ref="J56:J57" si="9">SUM(K56)</f>
        <v>-4687.42</v>
      </c>
      <c r="K56" s="60">
        <f t="shared" si="8"/>
        <v>-4687.42</v>
      </c>
      <c r="L56" s="43" t="s">
        <v>405</v>
      </c>
    </row>
    <row r="57" spans="1:12" ht="21" customHeight="1" x14ac:dyDescent="0.25">
      <c r="A57" s="33"/>
      <c r="B57" s="295" t="s">
        <v>370</v>
      </c>
      <c r="C57" s="241" t="s">
        <v>412</v>
      </c>
      <c r="D57" s="242" t="s">
        <v>448</v>
      </c>
      <c r="E57" s="243" t="s">
        <v>449</v>
      </c>
      <c r="F57" s="244" t="s">
        <v>196</v>
      </c>
      <c r="G57" s="245">
        <v>-5</v>
      </c>
      <c r="H57" s="246">
        <v>3910.04</v>
      </c>
      <c r="I57" s="247"/>
      <c r="J57" s="296">
        <f t="shared" si="9"/>
        <v>-19550.2</v>
      </c>
      <c r="K57" s="60">
        <f t="shared" si="8"/>
        <v>-19550.2</v>
      </c>
      <c r="L57" s="43" t="s">
        <v>405</v>
      </c>
    </row>
    <row r="58" spans="1:12" ht="21" customHeight="1" x14ac:dyDescent="0.25">
      <c r="A58" s="33"/>
      <c r="B58" s="264" t="s">
        <v>376</v>
      </c>
      <c r="C58" s="264" t="s">
        <v>412</v>
      </c>
      <c r="D58" s="265"/>
      <c r="E58" s="266" t="s">
        <v>450</v>
      </c>
      <c r="F58" s="267" t="s">
        <v>196</v>
      </c>
      <c r="G58" s="268">
        <v>12</v>
      </c>
      <c r="H58" s="269">
        <v>1985.5</v>
      </c>
      <c r="I58" s="277">
        <f>SUM(K58)</f>
        <v>23826</v>
      </c>
      <c r="J58" s="184"/>
      <c r="K58" s="60">
        <f t="shared" si="8"/>
        <v>23826</v>
      </c>
      <c r="L58" s="43" t="s">
        <v>405</v>
      </c>
    </row>
    <row r="59" spans="1:12" ht="21" customHeight="1" x14ac:dyDescent="0.25">
      <c r="A59" s="33"/>
      <c r="B59" s="264" t="s">
        <v>451</v>
      </c>
      <c r="C59" s="264" t="s">
        <v>52</v>
      </c>
      <c r="D59" s="265"/>
      <c r="E59" s="266" t="s">
        <v>452</v>
      </c>
      <c r="F59" s="267" t="s">
        <v>174</v>
      </c>
      <c r="G59" s="268">
        <v>24</v>
      </c>
      <c r="H59" s="269">
        <v>298.5</v>
      </c>
      <c r="I59" s="277">
        <f>SUM(K59)</f>
        <v>7164</v>
      </c>
      <c r="J59" s="184"/>
      <c r="K59" s="60">
        <f t="shared" si="8"/>
        <v>7164</v>
      </c>
      <c r="L59" s="43" t="s">
        <v>405</v>
      </c>
    </row>
    <row r="60" spans="1:12" ht="21" customHeight="1" x14ac:dyDescent="0.25">
      <c r="A60" s="33"/>
      <c r="B60" s="297" t="s">
        <v>453</v>
      </c>
      <c r="C60" s="248" t="s">
        <v>52</v>
      </c>
      <c r="D60" s="249" t="s">
        <v>454</v>
      </c>
      <c r="E60" s="250" t="s">
        <v>455</v>
      </c>
      <c r="F60" s="251" t="s">
        <v>196</v>
      </c>
      <c r="G60" s="252">
        <v>-6</v>
      </c>
      <c r="H60" s="253">
        <v>223.13</v>
      </c>
      <c r="I60" s="254"/>
      <c r="J60" s="296">
        <f>SUM(K60)</f>
        <v>-1338.78</v>
      </c>
      <c r="K60" s="60">
        <f t="shared" si="8"/>
        <v>-1338.78</v>
      </c>
      <c r="L60" s="43" t="s">
        <v>405</v>
      </c>
    </row>
    <row r="61" spans="1:12" ht="21" customHeight="1" x14ac:dyDescent="0.25">
      <c r="A61" s="33"/>
      <c r="B61" s="295" t="s">
        <v>55</v>
      </c>
      <c r="C61" s="241" t="s">
        <v>412</v>
      </c>
      <c r="D61" s="242" t="s">
        <v>456</v>
      </c>
      <c r="E61" s="243" t="s">
        <v>457</v>
      </c>
      <c r="F61" s="244" t="s">
        <v>196</v>
      </c>
      <c r="G61" s="245">
        <v>-6</v>
      </c>
      <c r="H61" s="246">
        <v>217.77</v>
      </c>
      <c r="I61" s="247"/>
      <c r="J61" s="296">
        <f t="shared" ref="J61:J64" si="10">SUM(K61)</f>
        <v>-1306.6200000000001</v>
      </c>
      <c r="K61" s="60">
        <f t="shared" si="8"/>
        <v>-1306.6200000000001</v>
      </c>
      <c r="L61" s="43" t="s">
        <v>405</v>
      </c>
    </row>
    <row r="62" spans="1:12" ht="21" customHeight="1" x14ac:dyDescent="0.25">
      <c r="A62" s="33"/>
      <c r="B62" s="297" t="s">
        <v>458</v>
      </c>
      <c r="C62" s="248" t="s">
        <v>52</v>
      </c>
      <c r="D62" s="249" t="s">
        <v>459</v>
      </c>
      <c r="E62" s="250" t="s">
        <v>460</v>
      </c>
      <c r="F62" s="251" t="s">
        <v>196</v>
      </c>
      <c r="G62" s="252">
        <v>-7</v>
      </c>
      <c r="H62" s="253">
        <v>223.13</v>
      </c>
      <c r="I62" s="254"/>
      <c r="J62" s="296">
        <f t="shared" si="10"/>
        <v>-1561.9099999999999</v>
      </c>
      <c r="K62" s="60">
        <f t="shared" si="8"/>
        <v>-1561.9099999999999</v>
      </c>
      <c r="L62" s="43" t="s">
        <v>405</v>
      </c>
    </row>
    <row r="63" spans="1:12" ht="21" customHeight="1" x14ac:dyDescent="0.25">
      <c r="A63" s="33"/>
      <c r="B63" s="295" t="s">
        <v>461</v>
      </c>
      <c r="C63" s="241" t="s">
        <v>412</v>
      </c>
      <c r="D63" s="242" t="s">
        <v>462</v>
      </c>
      <c r="E63" s="243" t="s">
        <v>463</v>
      </c>
      <c r="F63" s="244" t="s">
        <v>196</v>
      </c>
      <c r="G63" s="245">
        <v>-7</v>
      </c>
      <c r="H63" s="246">
        <v>431.08</v>
      </c>
      <c r="I63" s="247"/>
      <c r="J63" s="296">
        <f t="shared" si="10"/>
        <v>-3017.56</v>
      </c>
      <c r="K63" s="60">
        <f t="shared" si="8"/>
        <v>-3017.56</v>
      </c>
      <c r="L63" s="291"/>
    </row>
    <row r="64" spans="1:12" ht="21" customHeight="1" x14ac:dyDescent="0.25">
      <c r="A64" s="33"/>
      <c r="B64" s="295" t="s">
        <v>464</v>
      </c>
      <c r="C64" s="241" t="s">
        <v>412</v>
      </c>
      <c r="D64" s="242" t="s">
        <v>465</v>
      </c>
      <c r="E64" s="243" t="s">
        <v>466</v>
      </c>
      <c r="F64" s="244" t="s">
        <v>196</v>
      </c>
      <c r="G64" s="245">
        <v>-6</v>
      </c>
      <c r="H64" s="246">
        <v>758.63</v>
      </c>
      <c r="I64" s="247"/>
      <c r="J64" s="296">
        <f t="shared" si="10"/>
        <v>-4551.78</v>
      </c>
      <c r="K64" s="60">
        <f t="shared" si="8"/>
        <v>-4551.78</v>
      </c>
      <c r="L64" s="43" t="s">
        <v>486</v>
      </c>
    </row>
    <row r="65" spans="2:11" ht="21" customHeight="1" x14ac:dyDescent="0.25">
      <c r="B65" s="297" t="s">
        <v>84</v>
      </c>
      <c r="C65" s="248" t="s">
        <v>52</v>
      </c>
      <c r="D65" s="249" t="s">
        <v>467</v>
      </c>
      <c r="E65" s="250" t="s">
        <v>468</v>
      </c>
      <c r="F65" s="251" t="s">
        <v>196</v>
      </c>
      <c r="G65" s="252">
        <v>-1</v>
      </c>
      <c r="H65" s="253">
        <v>246.33</v>
      </c>
      <c r="I65" s="254"/>
      <c r="J65" s="298">
        <f>SUM(K65)</f>
        <v>-246.33</v>
      </c>
      <c r="K65" s="60">
        <f t="shared" si="8"/>
        <v>-246.33</v>
      </c>
    </row>
    <row r="66" spans="2:11" ht="21" customHeight="1" x14ac:dyDescent="0.25">
      <c r="B66" s="295" t="s">
        <v>397</v>
      </c>
      <c r="C66" s="241" t="s">
        <v>412</v>
      </c>
      <c r="D66" s="242" t="s">
        <v>469</v>
      </c>
      <c r="E66" s="243" t="s">
        <v>470</v>
      </c>
      <c r="F66" s="244" t="s">
        <v>196</v>
      </c>
      <c r="G66" s="245">
        <v>-1</v>
      </c>
      <c r="H66" s="246">
        <v>449.82</v>
      </c>
      <c r="I66" s="247"/>
      <c r="J66" s="298">
        <f t="shared" ref="J66:J72" si="11">SUM(K66)</f>
        <v>-449.82</v>
      </c>
      <c r="K66" s="60">
        <f t="shared" si="8"/>
        <v>-449.82</v>
      </c>
    </row>
    <row r="67" spans="2:11" ht="21" customHeight="1" x14ac:dyDescent="0.25">
      <c r="B67" s="297" t="s">
        <v>403</v>
      </c>
      <c r="C67" s="248" t="s">
        <v>52</v>
      </c>
      <c r="D67" s="249" t="s">
        <v>471</v>
      </c>
      <c r="E67" s="250" t="s">
        <v>472</v>
      </c>
      <c r="F67" s="251" t="s">
        <v>196</v>
      </c>
      <c r="G67" s="252">
        <v>-2</v>
      </c>
      <c r="H67" s="253">
        <v>9103.5</v>
      </c>
      <c r="I67" s="254"/>
      <c r="J67" s="298">
        <f t="shared" si="11"/>
        <v>-18207</v>
      </c>
      <c r="K67" s="60">
        <f t="shared" si="8"/>
        <v>-18207</v>
      </c>
    </row>
    <row r="68" spans="2:11" ht="21" customHeight="1" x14ac:dyDescent="0.25">
      <c r="B68" s="297" t="s">
        <v>408</v>
      </c>
      <c r="C68" s="248" t="s">
        <v>52</v>
      </c>
      <c r="D68" s="249" t="s">
        <v>473</v>
      </c>
      <c r="E68" s="250" t="s">
        <v>474</v>
      </c>
      <c r="F68" s="251" t="s">
        <v>196</v>
      </c>
      <c r="G68" s="252">
        <v>-2</v>
      </c>
      <c r="H68" s="253">
        <v>815.75</v>
      </c>
      <c r="I68" s="254"/>
      <c r="J68" s="298">
        <f t="shared" si="11"/>
        <v>-1631.5</v>
      </c>
      <c r="K68" s="60">
        <f t="shared" si="8"/>
        <v>-1631.5</v>
      </c>
    </row>
    <row r="69" spans="2:11" ht="21" customHeight="1" x14ac:dyDescent="0.25">
      <c r="B69" s="295" t="s">
        <v>411</v>
      </c>
      <c r="C69" s="241" t="s">
        <v>412</v>
      </c>
      <c r="D69" s="242" t="s">
        <v>475</v>
      </c>
      <c r="E69" s="243" t="s">
        <v>476</v>
      </c>
      <c r="F69" s="244" t="s">
        <v>196</v>
      </c>
      <c r="G69" s="245">
        <v>-2</v>
      </c>
      <c r="H69" s="246">
        <v>7970.03</v>
      </c>
      <c r="I69" s="247"/>
      <c r="J69" s="298">
        <f t="shared" si="11"/>
        <v>-15940.06</v>
      </c>
      <c r="K69" s="60">
        <f t="shared" si="8"/>
        <v>-15940.06</v>
      </c>
    </row>
    <row r="70" spans="2:11" ht="21" customHeight="1" x14ac:dyDescent="0.25">
      <c r="B70" s="297" t="s">
        <v>477</v>
      </c>
      <c r="C70" s="248" t="s">
        <v>52</v>
      </c>
      <c r="D70" s="249" t="s">
        <v>478</v>
      </c>
      <c r="E70" s="250" t="s">
        <v>479</v>
      </c>
      <c r="F70" s="251" t="s">
        <v>174</v>
      </c>
      <c r="G70" s="252">
        <v>-68</v>
      </c>
      <c r="H70" s="253">
        <v>42.66</v>
      </c>
      <c r="I70" s="254"/>
      <c r="J70" s="298">
        <f t="shared" si="11"/>
        <v>-2900.8799999999997</v>
      </c>
      <c r="K70" s="60">
        <f t="shared" si="8"/>
        <v>-2900.8799999999997</v>
      </c>
    </row>
    <row r="71" spans="2:11" ht="21" customHeight="1" x14ac:dyDescent="0.25">
      <c r="B71" s="299" t="s">
        <v>113</v>
      </c>
      <c r="C71" s="270" t="s">
        <v>52</v>
      </c>
      <c r="D71" s="271" t="s">
        <v>480</v>
      </c>
      <c r="E71" s="272" t="s">
        <v>481</v>
      </c>
      <c r="F71" s="273" t="s">
        <v>174</v>
      </c>
      <c r="G71" s="274">
        <v>-68</v>
      </c>
      <c r="H71" s="275">
        <v>10.98</v>
      </c>
      <c r="I71" s="276"/>
      <c r="J71" s="300">
        <f t="shared" si="11"/>
        <v>-746.64</v>
      </c>
      <c r="K71" s="84">
        <f t="shared" si="8"/>
        <v>-746.64</v>
      </c>
    </row>
    <row r="72" spans="2:11" ht="21" customHeight="1" thickBot="1" x14ac:dyDescent="0.3">
      <c r="B72" s="299" t="s">
        <v>124</v>
      </c>
      <c r="C72" s="270" t="s">
        <v>52</v>
      </c>
      <c r="D72" s="271" t="s">
        <v>482</v>
      </c>
      <c r="E72" s="272" t="s">
        <v>483</v>
      </c>
      <c r="F72" s="273" t="s">
        <v>196</v>
      </c>
      <c r="G72" s="274">
        <v>-2</v>
      </c>
      <c r="H72" s="275">
        <v>2490.08</v>
      </c>
      <c r="I72" s="254"/>
      <c r="J72" s="300">
        <f t="shared" si="11"/>
        <v>-4980.16</v>
      </c>
      <c r="K72" s="301">
        <f>SUM(G72*H72)</f>
        <v>-4980.16</v>
      </c>
    </row>
    <row r="73" spans="2:11" ht="21" customHeight="1" thickBot="1" x14ac:dyDescent="0.3">
      <c r="B73" s="235"/>
      <c r="C73" s="236" t="s">
        <v>23</v>
      </c>
      <c r="D73" s="290" t="s">
        <v>484</v>
      </c>
      <c r="E73" s="290" t="s">
        <v>485</v>
      </c>
      <c r="F73" s="238"/>
      <c r="G73" s="238"/>
      <c r="H73" s="302"/>
      <c r="I73" s="303">
        <f>SUM(I74)</f>
        <v>0</v>
      </c>
      <c r="J73" s="31">
        <f>SUM(J74)</f>
        <v>0</v>
      </c>
      <c r="K73" s="32">
        <f>SUM(K74)</f>
        <v>0</v>
      </c>
    </row>
    <row r="74" spans="2:11" ht="21" customHeight="1" x14ac:dyDescent="0.25">
      <c r="B74" s="34" t="s">
        <v>124</v>
      </c>
      <c r="C74" s="34" t="s">
        <v>52</v>
      </c>
      <c r="D74" s="35" t="s">
        <v>482</v>
      </c>
      <c r="E74" s="36" t="s">
        <v>483</v>
      </c>
      <c r="F74" s="37" t="s">
        <v>196</v>
      </c>
      <c r="G74" s="38">
        <v>0</v>
      </c>
      <c r="H74" s="39">
        <v>2490.08</v>
      </c>
      <c r="I74" s="40"/>
      <c r="J74" s="304">
        <f>SUM(K74)</f>
        <v>0</v>
      </c>
      <c r="K74" s="42">
        <f>SUM(G74*H74)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23"/>
  <sheetViews>
    <sheetView topLeftCell="D13" workbookViewId="0">
      <selection activeCell="N17" sqref="N17"/>
    </sheetView>
  </sheetViews>
  <sheetFormatPr defaultRowHeight="31.15" customHeight="1" x14ac:dyDescent="0.25"/>
  <cols>
    <col min="1" max="1" width="1.140625" customWidth="1"/>
    <col min="6" max="6" width="41.7109375" customWidth="1"/>
    <col min="8" max="8" width="11" customWidth="1"/>
    <col min="10" max="10" width="18.28515625" customWidth="1"/>
    <col min="11" max="11" width="19.140625" customWidth="1"/>
    <col min="12" max="12" width="17.28515625" customWidth="1"/>
    <col min="13" max="13" width="24.85546875" customWidth="1"/>
  </cols>
  <sheetData>
    <row r="3" spans="2:13" ht="31.15" customHeight="1" x14ac:dyDescent="0.25">
      <c r="B3" s="1"/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31.15" customHeight="1" x14ac:dyDescent="0.2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31.15" customHeight="1" x14ac:dyDescent="0.25">
      <c r="B5" s="1"/>
      <c r="C5" s="4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31.15" customHeight="1" x14ac:dyDescent="0.25">
      <c r="B6" s="1"/>
      <c r="C6" s="3"/>
      <c r="D6" s="3"/>
      <c r="E6" s="472"/>
      <c r="F6" s="473"/>
      <c r="G6" s="473"/>
      <c r="H6" s="473"/>
      <c r="I6" s="3"/>
      <c r="J6" s="3"/>
      <c r="K6" s="3"/>
      <c r="L6" s="3"/>
      <c r="M6" s="3"/>
    </row>
    <row r="7" spans="2:13" ht="31.15" customHeight="1" x14ac:dyDescent="0.25">
      <c r="B7" s="1"/>
      <c r="C7" s="4" t="s">
        <v>2</v>
      </c>
      <c r="D7" s="3"/>
      <c r="E7" s="3"/>
      <c r="F7" s="3"/>
      <c r="G7" s="3"/>
      <c r="H7" s="3"/>
      <c r="I7" s="3"/>
      <c r="J7" s="3"/>
      <c r="K7" s="474" t="s">
        <v>3</v>
      </c>
      <c r="L7" s="474"/>
      <c r="M7" s="475"/>
    </row>
    <row r="8" spans="2:13" ht="31.15" customHeight="1" x14ac:dyDescent="0.25">
      <c r="B8" s="1"/>
      <c r="C8" s="3"/>
      <c r="D8" s="3"/>
      <c r="E8" s="476"/>
      <c r="F8" s="477"/>
      <c r="G8" s="477"/>
      <c r="H8" s="477"/>
      <c r="I8" s="3"/>
      <c r="J8" s="3"/>
      <c r="K8" s="3"/>
      <c r="L8" s="3"/>
      <c r="M8" s="3"/>
    </row>
    <row r="9" spans="2:13" ht="31.15" customHeight="1" x14ac:dyDescent="0.25"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31.15" customHeight="1" x14ac:dyDescent="0.25">
      <c r="B10" s="1"/>
      <c r="C10" s="4" t="s">
        <v>4</v>
      </c>
      <c r="D10" s="3"/>
      <c r="E10" s="3"/>
      <c r="F10" s="5"/>
      <c r="G10" s="3"/>
      <c r="H10" s="3"/>
      <c r="I10" s="4" t="s">
        <v>5</v>
      </c>
      <c r="J10" s="6"/>
      <c r="K10" s="6"/>
      <c r="L10" s="6"/>
      <c r="M10" s="3"/>
    </row>
    <row r="11" spans="2:13" ht="31.15" customHeight="1" thickBot="1" x14ac:dyDescent="0.3">
      <c r="B11" s="1"/>
      <c r="C11" s="3"/>
      <c r="D11" s="3"/>
      <c r="E11" s="3"/>
      <c r="F11" s="3"/>
      <c r="G11" s="3"/>
      <c r="H11" s="3"/>
      <c r="I11" s="3"/>
      <c r="J11" s="3"/>
      <c r="K11" s="7"/>
      <c r="L11" s="3"/>
      <c r="M11" s="3"/>
    </row>
    <row r="12" spans="2:13" ht="31.15" customHeight="1" thickBot="1" x14ac:dyDescent="0.3">
      <c r="B12" s="1"/>
      <c r="C12" s="4" t="s">
        <v>6</v>
      </c>
      <c r="D12" s="3"/>
      <c r="E12" s="3"/>
      <c r="F12" s="5"/>
      <c r="G12" s="3"/>
      <c r="H12" s="3"/>
      <c r="I12" s="4" t="s">
        <v>7</v>
      </c>
      <c r="J12" s="8"/>
      <c r="K12" s="9">
        <v>15396337.965500001</v>
      </c>
      <c r="L12" s="10"/>
      <c r="M12" s="3"/>
    </row>
    <row r="13" spans="2:13" ht="31.15" customHeight="1" thickBot="1" x14ac:dyDescent="0.3">
      <c r="B13" s="1"/>
      <c r="C13" s="4" t="s">
        <v>8</v>
      </c>
      <c r="D13" s="3"/>
      <c r="E13" s="3"/>
      <c r="F13" s="5"/>
      <c r="G13" s="3"/>
      <c r="H13" s="3"/>
      <c r="I13" s="4" t="s">
        <v>9</v>
      </c>
      <c r="J13" s="10"/>
      <c r="K13" s="10"/>
      <c r="L13" s="478" t="s">
        <v>10</v>
      </c>
      <c r="M13" s="479"/>
    </row>
    <row r="14" spans="2:13" ht="31.15" customHeight="1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31.15" customHeight="1" thickBot="1" x14ac:dyDescent="0.3">
      <c r="B15" s="11"/>
      <c r="C15" s="12" t="s">
        <v>11</v>
      </c>
      <c r="D15" s="13" t="s">
        <v>12</v>
      </c>
      <c r="E15" s="13" t="s">
        <v>13</v>
      </c>
      <c r="F15" s="13" t="s">
        <v>14</v>
      </c>
      <c r="G15" s="13" t="s">
        <v>15</v>
      </c>
      <c r="H15" s="13" t="s">
        <v>16</v>
      </c>
      <c r="I15" s="13" t="s">
        <v>17</v>
      </c>
      <c r="J15" s="14" t="s">
        <v>18</v>
      </c>
      <c r="K15" s="14" t="s">
        <v>19</v>
      </c>
      <c r="L15" s="14" t="s">
        <v>20</v>
      </c>
      <c r="M15" s="15" t="s">
        <v>21</v>
      </c>
    </row>
    <row r="16" spans="2:13" ht="31.15" customHeight="1" thickBot="1" x14ac:dyDescent="0.3">
      <c r="B16" s="1"/>
      <c r="C16" s="16" t="s">
        <v>22</v>
      </c>
      <c r="D16" s="3"/>
      <c r="E16" s="3"/>
      <c r="F16" s="3"/>
      <c r="G16" s="3"/>
      <c r="H16" s="3"/>
      <c r="I16" s="3"/>
      <c r="J16" s="17">
        <f>SUM(J18+J21+J26+J31+J55+J66+J72+J73+J77+J79+J87+J101+J107+J109+J112+J115+J117+J122+J129+J138+J142+J144+J149+J161+J176+J179+J200+J203+J211+J214+J217+J68)</f>
        <v>1722886.5795299998</v>
      </c>
      <c r="K16" s="17">
        <f>SUM(K18+K21+K26+K31+K55+K66+K72+K73+K77+K79+K87+K101+K107+K109+K112+K115+K117+K122+K129+K138+K142+K144+K149+K161+K176+K179+K200+K203+K211+K214+K217+K68)</f>
        <v>-1180383.9382921201</v>
      </c>
      <c r="L16" s="18">
        <f>SUM(L18+L21+L26+L31+L55+L66+L72+L73+L77+L79+L87+L101+L107+L109+L112+L115+L117+L122+L129+L138+L142+L144+L149+L161+L176+L179+L200+L203+L211+L214+L217+L68)</f>
        <v>542502.64123787987</v>
      </c>
      <c r="M16" s="19">
        <f>SUM(J16:K16)</f>
        <v>542502.64123787964</v>
      </c>
    </row>
    <row r="17" spans="2:13" ht="31.15" customHeight="1" thickBot="1" x14ac:dyDescent="0.3">
      <c r="B17" s="20"/>
      <c r="C17" s="21"/>
      <c r="D17" s="22" t="s">
        <v>23</v>
      </c>
      <c r="E17" s="23" t="s">
        <v>24</v>
      </c>
      <c r="F17" s="23" t="s">
        <v>25</v>
      </c>
      <c r="G17" s="21"/>
      <c r="H17" s="21"/>
      <c r="I17" s="21"/>
      <c r="J17" s="24"/>
      <c r="K17" s="25"/>
      <c r="L17" s="26"/>
      <c r="M17" s="21"/>
    </row>
    <row r="18" spans="2:13" ht="31.15" customHeight="1" thickBot="1" x14ac:dyDescent="0.3">
      <c r="B18" s="20"/>
      <c r="C18" s="27"/>
      <c r="D18" s="28" t="s">
        <v>23</v>
      </c>
      <c r="E18" s="29" t="s">
        <v>26</v>
      </c>
      <c r="F18" s="29" t="s">
        <v>27</v>
      </c>
      <c r="G18" s="30"/>
      <c r="H18" s="30"/>
      <c r="I18" s="30"/>
      <c r="J18" s="31">
        <f>SUM(J19)</f>
        <v>0</v>
      </c>
      <c r="K18" s="31">
        <f>SUM(K19)</f>
        <v>-13387.5</v>
      </c>
      <c r="L18" s="32">
        <f>SUM(L19)</f>
        <v>-13387.5</v>
      </c>
      <c r="M18" s="21"/>
    </row>
    <row r="19" spans="2:13" ht="31.15" customHeight="1" x14ac:dyDescent="0.25">
      <c r="B19" s="33"/>
      <c r="C19" s="34" t="s">
        <v>28</v>
      </c>
      <c r="D19" s="34"/>
      <c r="E19" s="35"/>
      <c r="F19" s="36" t="s">
        <v>29</v>
      </c>
      <c r="G19" s="37" t="s">
        <v>30</v>
      </c>
      <c r="H19" s="38">
        <v>-1</v>
      </c>
      <c r="I19" s="39">
        <v>13387.5</v>
      </c>
      <c r="J19" s="40"/>
      <c r="K19" s="41">
        <f>SUM(L19)</f>
        <v>-13387.5</v>
      </c>
      <c r="L19" s="42">
        <f>SUM(H19*I19)</f>
        <v>-13387.5</v>
      </c>
      <c r="M19" s="43" t="s">
        <v>31</v>
      </c>
    </row>
    <row r="20" spans="2:13" ht="31.15" customHeight="1" thickBot="1" x14ac:dyDescent="0.3">
      <c r="B20" s="20"/>
      <c r="C20" s="21"/>
      <c r="D20" s="22" t="s">
        <v>23</v>
      </c>
      <c r="E20" s="23" t="s">
        <v>32</v>
      </c>
      <c r="F20" s="23" t="s">
        <v>33</v>
      </c>
      <c r="G20" s="21"/>
      <c r="H20" s="21"/>
      <c r="I20" s="21"/>
      <c r="J20" s="26"/>
      <c r="K20" s="26"/>
      <c r="L20" s="26"/>
      <c r="M20" s="21"/>
    </row>
    <row r="21" spans="2:13" ht="31.15" customHeight="1" thickBot="1" x14ac:dyDescent="0.3">
      <c r="B21" s="20"/>
      <c r="C21" s="27"/>
      <c r="D21" s="28" t="s">
        <v>23</v>
      </c>
      <c r="E21" s="29" t="s">
        <v>34</v>
      </c>
      <c r="F21" s="29" t="s">
        <v>35</v>
      </c>
      <c r="G21" s="30"/>
      <c r="H21" s="30"/>
      <c r="I21" s="30"/>
      <c r="J21" s="31">
        <f>SUM(J22:J25)</f>
        <v>10213.98</v>
      </c>
      <c r="K21" s="31">
        <f>SUM(K22:K25)</f>
        <v>0</v>
      </c>
      <c r="L21" s="32">
        <f>SUM(L22:L25)</f>
        <v>10213.98</v>
      </c>
      <c r="M21" s="21"/>
    </row>
    <row r="22" spans="2:13" ht="31.15" customHeight="1" x14ac:dyDescent="0.25">
      <c r="B22" s="33"/>
      <c r="C22" s="44" t="s">
        <v>36</v>
      </c>
      <c r="D22" s="44"/>
      <c r="E22" s="45"/>
      <c r="F22" s="46" t="s">
        <v>37</v>
      </c>
      <c r="G22" s="47" t="s">
        <v>38</v>
      </c>
      <c r="H22" s="48">
        <f>SUM(42*0.5*0.8)</f>
        <v>16.8</v>
      </c>
      <c r="I22" s="49">
        <v>146.37</v>
      </c>
      <c r="J22" s="50">
        <f>SUM(L22)</f>
        <v>2459.0160000000001</v>
      </c>
      <c r="K22" s="41"/>
      <c r="L22" s="42">
        <f>SUM(H22*I22)</f>
        <v>2459.0160000000001</v>
      </c>
      <c r="M22" s="51" t="s">
        <v>39</v>
      </c>
    </row>
    <row r="23" spans="2:13" ht="31.15" customHeight="1" x14ac:dyDescent="0.25">
      <c r="B23" s="33"/>
      <c r="C23" s="52" t="s">
        <v>40</v>
      </c>
      <c r="D23" s="52"/>
      <c r="E23" s="53"/>
      <c r="F23" s="54" t="s">
        <v>41</v>
      </c>
      <c r="G23" s="55" t="s">
        <v>38</v>
      </c>
      <c r="H23" s="56">
        <f>SUM(H22)</f>
        <v>16.8</v>
      </c>
      <c r="I23" s="57">
        <v>233.84</v>
      </c>
      <c r="J23" s="58">
        <f t="shared" ref="J23:J25" si="0">SUM(L23)</f>
        <v>3928.5120000000002</v>
      </c>
      <c r="K23" s="59"/>
      <c r="L23" s="60">
        <f>SUM(H23*I23)</f>
        <v>3928.5120000000002</v>
      </c>
      <c r="M23" s="51" t="s">
        <v>42</v>
      </c>
    </row>
    <row r="24" spans="2:13" ht="31.15" customHeight="1" x14ac:dyDescent="0.25">
      <c r="B24" s="33"/>
      <c r="C24" s="52" t="s">
        <v>43</v>
      </c>
      <c r="D24" s="52"/>
      <c r="E24" s="53"/>
      <c r="F24" s="54" t="s">
        <v>44</v>
      </c>
      <c r="G24" s="55" t="s">
        <v>38</v>
      </c>
      <c r="H24" s="56">
        <f>SUM(H23)</f>
        <v>16.8</v>
      </c>
      <c r="I24" s="57">
        <v>15.35</v>
      </c>
      <c r="J24" s="58">
        <f t="shared" si="0"/>
        <v>257.88</v>
      </c>
      <c r="K24" s="59"/>
      <c r="L24" s="60">
        <f>SUM(H24*I24)</f>
        <v>257.88</v>
      </c>
      <c r="M24" s="51" t="s">
        <v>42</v>
      </c>
    </row>
    <row r="25" spans="2:13" ht="31.15" customHeight="1" thickBot="1" x14ac:dyDescent="0.3">
      <c r="B25" s="33"/>
      <c r="C25" s="52" t="s">
        <v>45</v>
      </c>
      <c r="D25" s="52"/>
      <c r="E25" s="53"/>
      <c r="F25" s="54" t="s">
        <v>46</v>
      </c>
      <c r="G25" s="55" t="s">
        <v>47</v>
      </c>
      <c r="H25" s="56">
        <f>SUM(16.8*1.7)</f>
        <v>28.56</v>
      </c>
      <c r="I25" s="57">
        <v>124.95</v>
      </c>
      <c r="J25" s="58">
        <f t="shared" si="0"/>
        <v>3568.5720000000001</v>
      </c>
      <c r="K25" s="59"/>
      <c r="L25" s="60">
        <f>SUM(H25*I25)</f>
        <v>3568.5720000000001</v>
      </c>
      <c r="M25" s="51" t="s">
        <v>48</v>
      </c>
    </row>
    <row r="26" spans="2:13" ht="31.15" customHeight="1" thickBot="1" x14ac:dyDescent="0.3">
      <c r="B26" s="20"/>
      <c r="C26" s="27"/>
      <c r="D26" s="28" t="s">
        <v>23</v>
      </c>
      <c r="E26" s="29" t="s">
        <v>49</v>
      </c>
      <c r="F26" s="29" t="s">
        <v>50</v>
      </c>
      <c r="G26" s="30"/>
      <c r="H26" s="30"/>
      <c r="I26" s="30"/>
      <c r="J26" s="31">
        <f>SUM(J27+J28+J29+J30)</f>
        <v>166201.7592</v>
      </c>
      <c r="K26" s="31">
        <f>SUM(K27:K30)</f>
        <v>0</v>
      </c>
      <c r="L26" s="32">
        <f>SUM(L27+L28+L29+L30)</f>
        <v>166201.7592</v>
      </c>
      <c r="M26" s="21"/>
    </row>
    <row r="27" spans="2:13" ht="31.15" customHeight="1" x14ac:dyDescent="0.25">
      <c r="B27" s="33"/>
      <c r="C27" s="61" t="s">
        <v>51</v>
      </c>
      <c r="D27" s="61" t="s">
        <v>52</v>
      </c>
      <c r="E27" s="62"/>
      <c r="F27" s="63" t="s">
        <v>53</v>
      </c>
      <c r="G27" s="64" t="s">
        <v>38</v>
      </c>
      <c r="H27" s="65">
        <f>SUM(40.2*0.5*0.8)</f>
        <v>16.080000000000002</v>
      </c>
      <c r="I27" s="66">
        <v>3320.1</v>
      </c>
      <c r="J27" s="50">
        <f>SUM(L27)</f>
        <v>53387.208000000006</v>
      </c>
      <c r="K27" s="41"/>
      <c r="L27" s="42">
        <f>SUM(H27*I27)</f>
        <v>53387.208000000006</v>
      </c>
      <c r="M27" s="51" t="s">
        <v>54</v>
      </c>
    </row>
    <row r="28" spans="2:13" ht="31.15" customHeight="1" x14ac:dyDescent="0.25">
      <c r="B28" s="33"/>
      <c r="C28" s="67" t="s">
        <v>55</v>
      </c>
      <c r="D28" s="67" t="s">
        <v>52</v>
      </c>
      <c r="E28" s="68"/>
      <c r="F28" s="69" t="s">
        <v>56</v>
      </c>
      <c r="G28" s="70" t="s">
        <v>57</v>
      </c>
      <c r="H28" s="71">
        <f>SUM(40.2*1.2)</f>
        <v>48.24</v>
      </c>
      <c r="I28" s="72">
        <v>1097.78</v>
      </c>
      <c r="J28" s="58">
        <f t="shared" ref="J28:J30" si="1">SUM(L28)</f>
        <v>52956.907200000001</v>
      </c>
      <c r="K28" s="59"/>
      <c r="L28" s="60">
        <f>SUM(H28*I28)</f>
        <v>52956.907200000001</v>
      </c>
      <c r="M28" s="51" t="s">
        <v>58</v>
      </c>
    </row>
    <row r="29" spans="2:13" ht="31.15" customHeight="1" x14ac:dyDescent="0.25">
      <c r="B29" s="33"/>
      <c r="C29" s="67" t="s">
        <v>59</v>
      </c>
      <c r="D29" s="67" t="s">
        <v>52</v>
      </c>
      <c r="E29" s="68"/>
      <c r="F29" s="69" t="s">
        <v>60</v>
      </c>
      <c r="G29" s="70" t="s">
        <v>47</v>
      </c>
      <c r="H29" s="71">
        <v>1.054</v>
      </c>
      <c r="I29" s="72">
        <v>34986</v>
      </c>
      <c r="J29" s="58">
        <f t="shared" si="1"/>
        <v>36875.243999999999</v>
      </c>
      <c r="K29" s="59"/>
      <c r="L29" s="60">
        <f>SUM(H29*I29)</f>
        <v>36875.243999999999</v>
      </c>
      <c r="M29" s="43" t="s">
        <v>61</v>
      </c>
    </row>
    <row r="30" spans="2:13" ht="31.15" customHeight="1" thickBot="1" x14ac:dyDescent="0.3">
      <c r="B30" s="33"/>
      <c r="C30" s="76" t="s">
        <v>62</v>
      </c>
      <c r="D30" s="76"/>
      <c r="E30" s="77" t="s">
        <v>63</v>
      </c>
      <c r="F30" s="78" t="s">
        <v>64</v>
      </c>
      <c r="G30" s="79" t="s">
        <v>65</v>
      </c>
      <c r="H30" s="80">
        <v>42</v>
      </c>
      <c r="I30" s="81">
        <v>547.20000000000005</v>
      </c>
      <c r="J30" s="82">
        <f t="shared" si="1"/>
        <v>22982.400000000001</v>
      </c>
      <c r="K30" s="83"/>
      <c r="L30" s="84">
        <f>SUM(H30*I30)</f>
        <v>22982.400000000001</v>
      </c>
      <c r="M30" s="43" t="s">
        <v>66</v>
      </c>
    </row>
    <row r="31" spans="2:13" ht="31.15" customHeight="1" thickBot="1" x14ac:dyDescent="0.3">
      <c r="B31" s="20" t="s">
        <v>67</v>
      </c>
      <c r="C31" s="27"/>
      <c r="D31" s="28" t="s">
        <v>23</v>
      </c>
      <c r="E31" s="29" t="s">
        <v>68</v>
      </c>
      <c r="F31" s="29" t="s">
        <v>69</v>
      </c>
      <c r="G31" s="30"/>
      <c r="H31" s="30"/>
      <c r="I31" s="30"/>
      <c r="J31" s="31">
        <f>SUM(J32:J54)</f>
        <v>403882.55550000002</v>
      </c>
      <c r="K31" s="31">
        <f>SUM(K32:K54)</f>
        <v>-631333.13892000006</v>
      </c>
      <c r="L31" s="32">
        <f>SUM(L32:L54)</f>
        <v>-227450.58342000004</v>
      </c>
      <c r="M31" s="21"/>
    </row>
    <row r="32" spans="2:13" ht="31.15" customHeight="1" x14ac:dyDescent="0.25">
      <c r="B32" s="33"/>
      <c r="C32" s="85" t="s">
        <v>70</v>
      </c>
      <c r="D32" s="85" t="s">
        <v>52</v>
      </c>
      <c r="E32" s="86" t="s">
        <v>71</v>
      </c>
      <c r="F32" s="87" t="s">
        <v>72</v>
      </c>
      <c r="G32" s="88" t="s">
        <v>57</v>
      </c>
      <c r="H32" s="89">
        <v>-22.86</v>
      </c>
      <c r="I32" s="90">
        <v>1017.45</v>
      </c>
      <c r="J32" s="91"/>
      <c r="K32" s="92">
        <f>SUM(L32)</f>
        <v>-23258.906999999999</v>
      </c>
      <c r="L32" s="93">
        <f>SUM(H32*I32)</f>
        <v>-23258.906999999999</v>
      </c>
      <c r="M32" s="51" t="s">
        <v>73</v>
      </c>
    </row>
    <row r="33" spans="2:13" ht="53.45" customHeight="1" x14ac:dyDescent="0.25">
      <c r="B33" s="33"/>
      <c r="C33" s="94" t="s">
        <v>74</v>
      </c>
      <c r="D33" s="94" t="s">
        <v>52</v>
      </c>
      <c r="E33" s="95" t="s">
        <v>71</v>
      </c>
      <c r="F33" s="96" t="s">
        <v>75</v>
      </c>
      <c r="G33" s="97" t="s">
        <v>57</v>
      </c>
      <c r="H33" s="98">
        <v>12.98</v>
      </c>
      <c r="I33" s="99">
        <v>1151.33</v>
      </c>
      <c r="J33" s="74">
        <f>SUM(L33)</f>
        <v>14944.26</v>
      </c>
      <c r="K33" s="100"/>
      <c r="L33" s="101">
        <f>ROUND(I33*H33,2)</f>
        <v>14944.26</v>
      </c>
      <c r="M33" s="51" t="s">
        <v>76</v>
      </c>
    </row>
    <row r="34" spans="2:13" ht="31.15" customHeight="1" x14ac:dyDescent="0.25">
      <c r="B34" s="33"/>
      <c r="C34" s="102" t="s">
        <v>77</v>
      </c>
      <c r="D34" s="102" t="s">
        <v>52</v>
      </c>
      <c r="E34" s="103" t="s">
        <v>78</v>
      </c>
      <c r="F34" s="104" t="s">
        <v>79</v>
      </c>
      <c r="G34" s="105" t="s">
        <v>57</v>
      </c>
      <c r="H34" s="106">
        <v>-6.5</v>
      </c>
      <c r="I34" s="107">
        <v>654.20000000000005</v>
      </c>
      <c r="J34" s="108"/>
      <c r="K34" s="109">
        <v>-4252.3</v>
      </c>
      <c r="L34" s="101">
        <f>SUM(H34*I34)</f>
        <v>-4252.3</v>
      </c>
      <c r="M34" s="51" t="s">
        <v>80</v>
      </c>
    </row>
    <row r="35" spans="2:13" ht="31.15" customHeight="1" x14ac:dyDescent="0.25">
      <c r="B35" s="33"/>
      <c r="C35" s="94" t="s">
        <v>81</v>
      </c>
      <c r="D35" s="94"/>
      <c r="E35" s="95"/>
      <c r="F35" s="96" t="s">
        <v>82</v>
      </c>
      <c r="G35" s="97" t="s">
        <v>57</v>
      </c>
      <c r="H35" s="98">
        <v>18.399999999999999</v>
      </c>
      <c r="I35" s="99">
        <v>1151.33</v>
      </c>
      <c r="J35" s="74">
        <f>SUM(L35)</f>
        <v>21184.471999999998</v>
      </c>
      <c r="K35" s="109"/>
      <c r="L35" s="101">
        <f>SUM(H35*I35)</f>
        <v>21184.471999999998</v>
      </c>
      <c r="M35" s="51" t="s">
        <v>83</v>
      </c>
    </row>
    <row r="36" spans="2:13" ht="31.15" customHeight="1" x14ac:dyDescent="0.25">
      <c r="B36" s="33"/>
      <c r="C36" s="94" t="s">
        <v>84</v>
      </c>
      <c r="D36" s="94" t="s">
        <v>52</v>
      </c>
      <c r="E36" s="95" t="s">
        <v>85</v>
      </c>
      <c r="F36" s="96" t="s">
        <v>86</v>
      </c>
      <c r="G36" s="97" t="s">
        <v>57</v>
      </c>
      <c r="H36" s="98">
        <v>52.2</v>
      </c>
      <c r="I36" s="99">
        <v>1008.53</v>
      </c>
      <c r="J36" s="74">
        <f t="shared" ref="J36:J39" si="2">SUM(L36)</f>
        <v>52645.266000000003</v>
      </c>
      <c r="K36" s="109"/>
      <c r="L36" s="101">
        <f>SUM(H36*I36)</f>
        <v>52645.266000000003</v>
      </c>
      <c r="M36" s="51" t="s">
        <v>87</v>
      </c>
    </row>
    <row r="37" spans="2:13" ht="31.15" customHeight="1" x14ac:dyDescent="0.25">
      <c r="B37" s="33"/>
      <c r="C37" s="94" t="s">
        <v>88</v>
      </c>
      <c r="D37" s="94" t="s">
        <v>52</v>
      </c>
      <c r="E37" s="95"/>
      <c r="F37" s="96" t="s">
        <v>89</v>
      </c>
      <c r="G37" s="97" t="s">
        <v>57</v>
      </c>
      <c r="H37" s="98">
        <v>27</v>
      </c>
      <c r="I37" s="99">
        <v>271.32</v>
      </c>
      <c r="J37" s="74">
        <f t="shared" si="2"/>
        <v>7325.6399999999994</v>
      </c>
      <c r="K37" s="109"/>
      <c r="L37" s="101">
        <f t="shared" ref="L37:L53" si="3">SUM(H37*I37)</f>
        <v>7325.6399999999994</v>
      </c>
      <c r="M37" s="51" t="s">
        <v>90</v>
      </c>
    </row>
    <row r="38" spans="2:13" ht="31.15" customHeight="1" x14ac:dyDescent="0.25">
      <c r="B38" s="33"/>
      <c r="C38" s="94" t="s">
        <v>91</v>
      </c>
      <c r="D38" s="94"/>
      <c r="E38" s="95"/>
      <c r="F38" s="96" t="s">
        <v>92</v>
      </c>
      <c r="G38" s="97" t="s">
        <v>57</v>
      </c>
      <c r="H38" s="98">
        <v>27</v>
      </c>
      <c r="I38" s="99">
        <v>63.81</v>
      </c>
      <c r="J38" s="74">
        <f t="shared" si="2"/>
        <v>1722.8700000000001</v>
      </c>
      <c r="K38" s="109"/>
      <c r="L38" s="101">
        <f t="shared" si="3"/>
        <v>1722.8700000000001</v>
      </c>
      <c r="M38" s="51"/>
    </row>
    <row r="39" spans="2:13" ht="31.15" customHeight="1" x14ac:dyDescent="0.25">
      <c r="B39" s="33"/>
      <c r="C39" s="94" t="s">
        <v>93</v>
      </c>
      <c r="D39" s="94"/>
      <c r="E39" s="95"/>
      <c r="F39" s="96" t="s">
        <v>94</v>
      </c>
      <c r="G39" s="97" t="s">
        <v>38</v>
      </c>
      <c r="H39" s="98">
        <v>3.75</v>
      </c>
      <c r="I39" s="99">
        <v>2802.45</v>
      </c>
      <c r="J39" s="74">
        <f t="shared" si="2"/>
        <v>10509.1875</v>
      </c>
      <c r="K39" s="109"/>
      <c r="L39" s="101">
        <f t="shared" si="3"/>
        <v>10509.1875</v>
      </c>
      <c r="M39" s="51" t="s">
        <v>95</v>
      </c>
    </row>
    <row r="40" spans="2:13" ht="31.15" customHeight="1" x14ac:dyDescent="0.25">
      <c r="B40" s="33"/>
      <c r="C40" s="102" t="s">
        <v>96</v>
      </c>
      <c r="D40" s="102" t="s">
        <v>52</v>
      </c>
      <c r="E40" s="103" t="s">
        <v>97</v>
      </c>
      <c r="F40" s="104" t="s">
        <v>98</v>
      </c>
      <c r="G40" s="105" t="s">
        <v>38</v>
      </c>
      <c r="H40" s="106">
        <v>-4.4800000000000004</v>
      </c>
      <c r="I40" s="107">
        <v>3132.68</v>
      </c>
      <c r="J40" s="108"/>
      <c r="K40" s="109">
        <f>SUM(L40)</f>
        <v>-14034.4064</v>
      </c>
      <c r="L40" s="101">
        <f t="shared" si="3"/>
        <v>-14034.4064</v>
      </c>
      <c r="M40" s="51" t="s">
        <v>99</v>
      </c>
    </row>
    <row r="41" spans="2:13" ht="31.15" customHeight="1" x14ac:dyDescent="0.25">
      <c r="B41" s="33"/>
      <c r="C41" s="102" t="s">
        <v>100</v>
      </c>
      <c r="D41" s="102" t="s">
        <v>52</v>
      </c>
      <c r="E41" s="103" t="s">
        <v>101</v>
      </c>
      <c r="F41" s="104" t="s">
        <v>102</v>
      </c>
      <c r="G41" s="105" t="s">
        <v>57</v>
      </c>
      <c r="H41" s="106">
        <v>-44.8</v>
      </c>
      <c r="I41" s="107">
        <v>712.22</v>
      </c>
      <c r="J41" s="108"/>
      <c r="K41" s="109">
        <f>SUM(L41)</f>
        <v>-31907.455999999998</v>
      </c>
      <c r="L41" s="101">
        <f t="shared" si="3"/>
        <v>-31907.455999999998</v>
      </c>
      <c r="M41" s="51" t="s">
        <v>99</v>
      </c>
    </row>
    <row r="42" spans="2:13" ht="31.15" customHeight="1" x14ac:dyDescent="0.25">
      <c r="B42" s="33"/>
      <c r="C42" s="102" t="s">
        <v>103</v>
      </c>
      <c r="D42" s="102" t="s">
        <v>52</v>
      </c>
      <c r="E42" s="103" t="s">
        <v>104</v>
      </c>
      <c r="F42" s="104" t="s">
        <v>105</v>
      </c>
      <c r="G42" s="105" t="s">
        <v>57</v>
      </c>
      <c r="H42" s="106">
        <v>-44.8</v>
      </c>
      <c r="I42" s="107">
        <v>77.650000000000006</v>
      </c>
      <c r="J42" s="108"/>
      <c r="K42" s="109">
        <f t="shared" ref="K42:K44" si="4">SUM(L42)</f>
        <v>-3478.7200000000003</v>
      </c>
      <c r="L42" s="101">
        <f t="shared" si="3"/>
        <v>-3478.7200000000003</v>
      </c>
      <c r="M42" s="51" t="s">
        <v>99</v>
      </c>
    </row>
    <row r="43" spans="2:13" ht="31.15" customHeight="1" x14ac:dyDescent="0.25">
      <c r="B43" s="33"/>
      <c r="C43" s="102" t="s">
        <v>106</v>
      </c>
      <c r="D43" s="102" t="s">
        <v>52</v>
      </c>
      <c r="E43" s="103" t="s">
        <v>107</v>
      </c>
      <c r="F43" s="104" t="s">
        <v>108</v>
      </c>
      <c r="G43" s="105" t="s">
        <v>47</v>
      </c>
      <c r="H43" s="106">
        <v>-0.79200000000000004</v>
      </c>
      <c r="I43" s="107">
        <v>36503.25</v>
      </c>
      <c r="J43" s="108"/>
      <c r="K43" s="109">
        <f t="shared" si="4"/>
        <v>-28910.574000000001</v>
      </c>
      <c r="L43" s="101">
        <f t="shared" si="3"/>
        <v>-28910.574000000001</v>
      </c>
      <c r="M43" s="51" t="s">
        <v>109</v>
      </c>
    </row>
    <row r="44" spans="2:13" ht="31.15" customHeight="1" x14ac:dyDescent="0.25">
      <c r="B44" s="33"/>
      <c r="C44" s="331" t="s">
        <v>110</v>
      </c>
      <c r="D44" s="102" t="s">
        <v>52</v>
      </c>
      <c r="E44" s="103" t="s">
        <v>111</v>
      </c>
      <c r="F44" s="104" t="s">
        <v>112</v>
      </c>
      <c r="G44" s="105" t="s">
        <v>38</v>
      </c>
      <c r="H44" s="106">
        <v>-44.192</v>
      </c>
      <c r="I44" s="107">
        <v>3141.6</v>
      </c>
      <c r="J44" s="108"/>
      <c r="K44" s="109">
        <f t="shared" si="4"/>
        <v>-138833.58720000001</v>
      </c>
      <c r="L44" s="101">
        <f t="shared" si="3"/>
        <v>-138833.58720000001</v>
      </c>
      <c r="M44" s="51" t="s">
        <v>99</v>
      </c>
    </row>
    <row r="45" spans="2:13" ht="31.15" customHeight="1" x14ac:dyDescent="0.25">
      <c r="B45" s="33"/>
      <c r="C45" s="332" t="s">
        <v>113</v>
      </c>
      <c r="D45" s="94" t="s">
        <v>52</v>
      </c>
      <c r="E45" s="95" t="s">
        <v>114</v>
      </c>
      <c r="F45" s="96" t="s">
        <v>112</v>
      </c>
      <c r="G45" s="97" t="s">
        <v>38</v>
      </c>
      <c r="H45" s="98">
        <v>38.85</v>
      </c>
      <c r="I45" s="99">
        <v>3141.6</v>
      </c>
      <c r="J45" s="74">
        <f>SUM(L45)</f>
        <v>122051.16</v>
      </c>
      <c r="K45" s="109"/>
      <c r="L45" s="101">
        <f t="shared" si="3"/>
        <v>122051.16</v>
      </c>
      <c r="M45" s="51" t="s">
        <v>115</v>
      </c>
    </row>
    <row r="46" spans="2:13" ht="31.15" customHeight="1" x14ac:dyDescent="0.25">
      <c r="B46" s="33"/>
      <c r="C46" s="331" t="s">
        <v>116</v>
      </c>
      <c r="D46" s="102" t="s">
        <v>52</v>
      </c>
      <c r="E46" s="103" t="s">
        <v>117</v>
      </c>
      <c r="F46" s="104" t="s">
        <v>118</v>
      </c>
      <c r="G46" s="105" t="s">
        <v>57</v>
      </c>
      <c r="H46" s="106">
        <v>-351.26400000000001</v>
      </c>
      <c r="I46" s="107">
        <v>764.87</v>
      </c>
      <c r="J46" s="108"/>
      <c r="K46" s="109">
        <f>SUM(L46)</f>
        <v>-268671.29567999998</v>
      </c>
      <c r="L46" s="101">
        <f t="shared" si="3"/>
        <v>-268671.29567999998</v>
      </c>
      <c r="M46" s="51" t="s">
        <v>99</v>
      </c>
    </row>
    <row r="47" spans="2:13" ht="31.15" customHeight="1" x14ac:dyDescent="0.25">
      <c r="B47" s="33"/>
      <c r="C47" s="332" t="s">
        <v>119</v>
      </c>
      <c r="D47" s="94" t="s">
        <v>52</v>
      </c>
      <c r="E47" s="95" t="s">
        <v>120</v>
      </c>
      <c r="F47" s="96" t="s">
        <v>118</v>
      </c>
      <c r="G47" s="97" t="s">
        <v>57</v>
      </c>
      <c r="H47" s="98">
        <v>140</v>
      </c>
      <c r="I47" s="99">
        <v>764.87</v>
      </c>
      <c r="J47" s="74">
        <f>SUM(L47)</f>
        <v>107081.8</v>
      </c>
      <c r="K47" s="109"/>
      <c r="L47" s="101">
        <f t="shared" si="3"/>
        <v>107081.8</v>
      </c>
      <c r="M47" s="51" t="s">
        <v>121</v>
      </c>
    </row>
    <row r="48" spans="2:13" ht="31.15" customHeight="1" x14ac:dyDescent="0.25">
      <c r="B48" s="33"/>
      <c r="C48" s="331" t="s">
        <v>122</v>
      </c>
      <c r="D48" s="102" t="s">
        <v>52</v>
      </c>
      <c r="E48" s="103" t="s">
        <v>120</v>
      </c>
      <c r="F48" s="104" t="s">
        <v>123</v>
      </c>
      <c r="G48" s="105" t="s">
        <v>57</v>
      </c>
      <c r="H48" s="106">
        <v>-351.26400000000001</v>
      </c>
      <c r="I48" s="107">
        <v>135.66</v>
      </c>
      <c r="J48" s="108"/>
      <c r="K48" s="109">
        <f>SUM(L48)</f>
        <v>-47652.474240000003</v>
      </c>
      <c r="L48" s="101">
        <f t="shared" si="3"/>
        <v>-47652.474240000003</v>
      </c>
      <c r="M48" s="51" t="s">
        <v>99</v>
      </c>
    </row>
    <row r="49" spans="2:13" ht="31.15" customHeight="1" x14ac:dyDescent="0.25">
      <c r="B49" s="33"/>
      <c r="C49" s="332" t="s">
        <v>124</v>
      </c>
      <c r="D49" s="94" t="s">
        <v>52</v>
      </c>
      <c r="E49" s="95" t="s">
        <v>120</v>
      </c>
      <c r="F49" s="96" t="s">
        <v>123</v>
      </c>
      <c r="G49" s="97" t="s">
        <v>57</v>
      </c>
      <c r="H49" s="98">
        <f>SUM(H47)</f>
        <v>140</v>
      </c>
      <c r="I49" s="99">
        <v>135.66</v>
      </c>
      <c r="J49" s="74">
        <f>SUM(L49)</f>
        <v>18992.399999999998</v>
      </c>
      <c r="K49" s="109"/>
      <c r="L49" s="101">
        <f t="shared" si="3"/>
        <v>18992.399999999998</v>
      </c>
      <c r="M49" s="51" t="s">
        <v>121</v>
      </c>
    </row>
    <row r="50" spans="2:13" ht="31.15" customHeight="1" x14ac:dyDescent="0.25">
      <c r="B50" s="33"/>
      <c r="C50" s="333" t="s">
        <v>125</v>
      </c>
      <c r="D50" s="110" t="s">
        <v>52</v>
      </c>
      <c r="E50" s="111" t="s">
        <v>126</v>
      </c>
      <c r="F50" s="112" t="s">
        <v>127</v>
      </c>
      <c r="G50" s="113" t="s">
        <v>57</v>
      </c>
      <c r="H50" s="114">
        <v>-182.65799999999999</v>
      </c>
      <c r="I50" s="115">
        <v>133.88</v>
      </c>
      <c r="J50" s="116"/>
      <c r="K50" s="109">
        <f>SUM(L50)</f>
        <v>-24454.253039999996</v>
      </c>
      <c r="L50" s="101">
        <f>SUM(H50*I50)</f>
        <v>-24454.253039999996</v>
      </c>
      <c r="M50" s="51" t="s">
        <v>99</v>
      </c>
    </row>
    <row r="51" spans="2:13" ht="31.15" customHeight="1" x14ac:dyDescent="0.25">
      <c r="B51" s="33"/>
      <c r="C51" s="332" t="s">
        <v>128</v>
      </c>
      <c r="D51" s="94" t="s">
        <v>52</v>
      </c>
      <c r="E51" s="95" t="s">
        <v>126</v>
      </c>
      <c r="F51" s="96" t="s">
        <v>127</v>
      </c>
      <c r="G51" s="97" t="s">
        <v>57</v>
      </c>
      <c r="H51" s="98">
        <v>162</v>
      </c>
      <c r="I51" s="99">
        <v>133.88</v>
      </c>
      <c r="J51" s="74">
        <f t="shared" ref="J51:J53" si="5">SUM(L51)</f>
        <v>21688.559999999998</v>
      </c>
      <c r="K51" s="109"/>
      <c r="L51" s="101">
        <f t="shared" si="3"/>
        <v>21688.559999999998</v>
      </c>
      <c r="M51" s="51" t="s">
        <v>129</v>
      </c>
    </row>
    <row r="52" spans="2:13" ht="31.15" customHeight="1" x14ac:dyDescent="0.25">
      <c r="B52" s="33"/>
      <c r="C52" s="333" t="s">
        <v>130</v>
      </c>
      <c r="D52" s="110" t="s">
        <v>52</v>
      </c>
      <c r="E52" s="111" t="s">
        <v>131</v>
      </c>
      <c r="F52" s="112" t="s">
        <v>132</v>
      </c>
      <c r="G52" s="113" t="s">
        <v>57</v>
      </c>
      <c r="H52" s="114">
        <v>-182.65799999999999</v>
      </c>
      <c r="I52" s="115">
        <v>158.87</v>
      </c>
      <c r="J52" s="116"/>
      <c r="K52" s="109">
        <f>SUM(L52)</f>
        <v>-29018.876459999999</v>
      </c>
      <c r="L52" s="101">
        <f>SUM(H52*I52)</f>
        <v>-29018.876459999999</v>
      </c>
      <c r="M52" s="51" t="s">
        <v>99</v>
      </c>
    </row>
    <row r="53" spans="2:13" ht="31.15" customHeight="1" x14ac:dyDescent="0.25">
      <c r="B53" s="33"/>
      <c r="C53" s="332" t="s">
        <v>133</v>
      </c>
      <c r="D53" s="94" t="s">
        <v>52</v>
      </c>
      <c r="E53" s="95" t="s">
        <v>131</v>
      </c>
      <c r="F53" s="96" t="s">
        <v>132</v>
      </c>
      <c r="G53" s="97" t="s">
        <v>57</v>
      </c>
      <c r="H53" s="98">
        <f>SUM(H51)</f>
        <v>162</v>
      </c>
      <c r="I53" s="99">
        <v>158.87</v>
      </c>
      <c r="J53" s="74">
        <f t="shared" si="5"/>
        <v>25736.940000000002</v>
      </c>
      <c r="K53" s="109"/>
      <c r="L53" s="101">
        <f t="shared" si="3"/>
        <v>25736.940000000002</v>
      </c>
      <c r="M53" s="51" t="s">
        <v>129</v>
      </c>
    </row>
    <row r="54" spans="2:13" ht="31.15" customHeight="1" thickBot="1" x14ac:dyDescent="0.3">
      <c r="B54" s="33"/>
      <c r="C54" s="334" t="s">
        <v>134</v>
      </c>
      <c r="D54" s="117" t="s">
        <v>52</v>
      </c>
      <c r="E54" s="118" t="s">
        <v>135</v>
      </c>
      <c r="F54" s="119" t="s">
        <v>136</v>
      </c>
      <c r="G54" s="120" t="s">
        <v>47</v>
      </c>
      <c r="H54" s="121">
        <v>0.4274</v>
      </c>
      <c r="I54" s="122">
        <v>39448.5</v>
      </c>
      <c r="J54" s="123"/>
      <c r="K54" s="124">
        <f>SUM(L54)</f>
        <v>-16860.2889</v>
      </c>
      <c r="L54" s="125">
        <f>-SUM(H54*I54)</f>
        <v>-16860.2889</v>
      </c>
      <c r="M54" s="51" t="s">
        <v>137</v>
      </c>
    </row>
    <row r="55" spans="2:13" ht="31.15" customHeight="1" thickBot="1" x14ac:dyDescent="0.3">
      <c r="B55" s="20" t="s">
        <v>67</v>
      </c>
      <c r="C55" s="27"/>
      <c r="D55" s="28" t="s">
        <v>23</v>
      </c>
      <c r="E55" s="29" t="s">
        <v>138</v>
      </c>
      <c r="F55" s="29" t="s">
        <v>139</v>
      </c>
      <c r="G55" s="30"/>
      <c r="H55" s="30"/>
      <c r="I55" s="30"/>
      <c r="J55" s="31">
        <f>SUM(J56:J65)</f>
        <v>98559.68793</v>
      </c>
      <c r="K55" s="31">
        <f>SUM(K56:K65)</f>
        <v>-20439.597500000003</v>
      </c>
      <c r="L55" s="32">
        <f>SUM(L56:L65)</f>
        <v>78120.090429999997</v>
      </c>
      <c r="M55" s="21"/>
    </row>
    <row r="56" spans="2:13" ht="31.15" customHeight="1" x14ac:dyDescent="0.25">
      <c r="B56" s="33"/>
      <c r="C56" s="126" t="s">
        <v>140</v>
      </c>
      <c r="D56" s="126"/>
      <c r="E56" s="127"/>
      <c r="F56" s="128" t="s">
        <v>141</v>
      </c>
      <c r="G56" s="129" t="s">
        <v>38</v>
      </c>
      <c r="H56" s="130">
        <v>-1.98</v>
      </c>
      <c r="I56" s="131">
        <v>2748</v>
      </c>
      <c r="J56" s="91"/>
      <c r="K56" s="92">
        <f t="shared" ref="K56:K61" si="6">SUM(L56)</f>
        <v>-5441.04</v>
      </c>
      <c r="L56" s="132">
        <f t="shared" ref="L56:L65" si="7">SUM(H56*I56)</f>
        <v>-5441.04</v>
      </c>
      <c r="M56" s="51" t="s">
        <v>142</v>
      </c>
    </row>
    <row r="57" spans="2:13" ht="31.15" customHeight="1" x14ac:dyDescent="0.25">
      <c r="B57" s="33"/>
      <c r="C57" s="110" t="s">
        <v>143</v>
      </c>
      <c r="D57" s="110"/>
      <c r="E57" s="111"/>
      <c r="F57" s="112" t="s">
        <v>144</v>
      </c>
      <c r="G57" s="113" t="s">
        <v>57</v>
      </c>
      <c r="H57" s="114">
        <v>-13.25</v>
      </c>
      <c r="I57" s="115">
        <v>497.12</v>
      </c>
      <c r="J57" s="108"/>
      <c r="K57" s="109">
        <f t="shared" si="6"/>
        <v>-6586.84</v>
      </c>
      <c r="L57" s="101">
        <f t="shared" si="7"/>
        <v>-6586.84</v>
      </c>
      <c r="M57" s="51" t="s">
        <v>142</v>
      </c>
    </row>
    <row r="58" spans="2:13" ht="31.15" customHeight="1" x14ac:dyDescent="0.25">
      <c r="B58" s="33"/>
      <c r="C58" s="110" t="s">
        <v>145</v>
      </c>
      <c r="D58" s="110"/>
      <c r="E58" s="111"/>
      <c r="F58" s="112" t="s">
        <v>146</v>
      </c>
      <c r="G58" s="113" t="s">
        <v>57</v>
      </c>
      <c r="H58" s="114">
        <v>-13.25</v>
      </c>
      <c r="I58" s="115">
        <v>95.5</v>
      </c>
      <c r="J58" s="108"/>
      <c r="K58" s="109">
        <f t="shared" si="6"/>
        <v>-1265.375</v>
      </c>
      <c r="L58" s="101">
        <f t="shared" si="7"/>
        <v>-1265.375</v>
      </c>
      <c r="M58" s="51" t="s">
        <v>142</v>
      </c>
    </row>
    <row r="59" spans="2:13" ht="31.15" customHeight="1" x14ac:dyDescent="0.25">
      <c r="B59" s="33"/>
      <c r="C59" s="110" t="s">
        <v>147</v>
      </c>
      <c r="D59" s="110"/>
      <c r="E59" s="111"/>
      <c r="F59" s="112" t="s">
        <v>148</v>
      </c>
      <c r="G59" s="113" t="s">
        <v>57</v>
      </c>
      <c r="H59" s="114">
        <v>-1.25</v>
      </c>
      <c r="I59" s="115">
        <v>659.56</v>
      </c>
      <c r="J59" s="108"/>
      <c r="K59" s="109">
        <f t="shared" si="6"/>
        <v>-824.44999999999993</v>
      </c>
      <c r="L59" s="101">
        <f t="shared" si="7"/>
        <v>-824.44999999999993</v>
      </c>
      <c r="M59" s="51" t="s">
        <v>142</v>
      </c>
    </row>
    <row r="60" spans="2:13" ht="31.15" customHeight="1" x14ac:dyDescent="0.25">
      <c r="B60" s="33"/>
      <c r="C60" s="110" t="s">
        <v>149</v>
      </c>
      <c r="D60" s="110"/>
      <c r="E60" s="111"/>
      <c r="F60" s="112" t="s">
        <v>150</v>
      </c>
      <c r="G60" s="113" t="s">
        <v>57</v>
      </c>
      <c r="H60" s="114">
        <v>-1.25</v>
      </c>
      <c r="I60" s="115">
        <v>103.53</v>
      </c>
      <c r="J60" s="108"/>
      <c r="K60" s="109">
        <f t="shared" si="6"/>
        <v>-129.41249999999999</v>
      </c>
      <c r="L60" s="101">
        <f t="shared" si="7"/>
        <v>-129.41249999999999</v>
      </c>
      <c r="M60" s="51" t="s">
        <v>142</v>
      </c>
    </row>
    <row r="61" spans="2:13" ht="31.15" customHeight="1" x14ac:dyDescent="0.25">
      <c r="B61" s="33"/>
      <c r="C61" s="110" t="s">
        <v>151</v>
      </c>
      <c r="D61" s="110"/>
      <c r="E61" s="111"/>
      <c r="F61" s="112" t="s">
        <v>152</v>
      </c>
      <c r="G61" s="113" t="s">
        <v>47</v>
      </c>
      <c r="H61" s="114">
        <v>-0.16800000000000001</v>
      </c>
      <c r="I61" s="115">
        <v>36860</v>
      </c>
      <c r="J61" s="108"/>
      <c r="K61" s="109">
        <f t="shared" si="6"/>
        <v>-6192.4800000000005</v>
      </c>
      <c r="L61" s="101">
        <f t="shared" si="7"/>
        <v>-6192.4800000000005</v>
      </c>
      <c r="M61" s="51" t="s">
        <v>142</v>
      </c>
    </row>
    <row r="62" spans="2:13" ht="31.15" customHeight="1" x14ac:dyDescent="0.25">
      <c r="B62" s="33"/>
      <c r="C62" s="133" t="s">
        <v>153</v>
      </c>
      <c r="D62" s="133"/>
      <c r="E62" s="134" t="s">
        <v>154</v>
      </c>
      <c r="F62" s="135" t="s">
        <v>155</v>
      </c>
      <c r="G62" s="136" t="s">
        <v>38</v>
      </c>
      <c r="H62" s="137">
        <v>9.1029999999999998</v>
      </c>
      <c r="I62" s="138">
        <v>2802.45</v>
      </c>
      <c r="J62" s="74">
        <f>SUM(L62)</f>
        <v>25510.702349999996</v>
      </c>
      <c r="K62" s="109"/>
      <c r="L62" s="101">
        <f t="shared" si="7"/>
        <v>25510.702349999996</v>
      </c>
      <c r="M62" s="51" t="s">
        <v>156</v>
      </c>
    </row>
    <row r="63" spans="2:13" ht="31.15" customHeight="1" x14ac:dyDescent="0.25">
      <c r="B63" s="33"/>
      <c r="C63" s="133" t="s">
        <v>157</v>
      </c>
      <c r="D63" s="133"/>
      <c r="E63" s="134" t="s">
        <v>154</v>
      </c>
      <c r="F63" s="135" t="s">
        <v>158</v>
      </c>
      <c r="G63" s="136" t="s">
        <v>57</v>
      </c>
      <c r="H63" s="137">
        <v>60.716000000000001</v>
      </c>
      <c r="I63" s="138">
        <v>271.32</v>
      </c>
      <c r="J63" s="74">
        <f t="shared" ref="J63:J65" si="8">SUM(L63)</f>
        <v>16473.465120000001</v>
      </c>
      <c r="K63" s="109"/>
      <c r="L63" s="101">
        <f t="shared" si="7"/>
        <v>16473.465120000001</v>
      </c>
      <c r="M63" s="51" t="s">
        <v>159</v>
      </c>
    </row>
    <row r="64" spans="2:13" ht="31.15" customHeight="1" x14ac:dyDescent="0.25">
      <c r="B64" s="33"/>
      <c r="C64" s="133" t="s">
        <v>160</v>
      </c>
      <c r="D64" s="133"/>
      <c r="E64" s="134" t="s">
        <v>154</v>
      </c>
      <c r="F64" s="135" t="s">
        <v>161</v>
      </c>
      <c r="G64" s="136" t="s">
        <v>57</v>
      </c>
      <c r="H64" s="137">
        <v>60.716000000000001</v>
      </c>
      <c r="I64" s="138">
        <v>63.81</v>
      </c>
      <c r="J64" s="74">
        <f t="shared" si="8"/>
        <v>3874.2879600000001</v>
      </c>
      <c r="K64" s="109"/>
      <c r="L64" s="101">
        <f t="shared" si="7"/>
        <v>3874.2879600000001</v>
      </c>
      <c r="M64" s="51" t="s">
        <v>159</v>
      </c>
    </row>
    <row r="65" spans="2:14" ht="31.15" customHeight="1" thickBot="1" x14ac:dyDescent="0.3">
      <c r="B65" s="33"/>
      <c r="C65" s="139" t="s">
        <v>162</v>
      </c>
      <c r="D65" s="139"/>
      <c r="E65" s="140" t="s">
        <v>154</v>
      </c>
      <c r="F65" s="141" t="s">
        <v>163</v>
      </c>
      <c r="G65" s="142" t="s">
        <v>47</v>
      </c>
      <c r="H65" s="143">
        <v>1.458</v>
      </c>
      <c r="I65" s="144">
        <v>36146.25</v>
      </c>
      <c r="J65" s="75">
        <f t="shared" si="8"/>
        <v>52701.232499999998</v>
      </c>
      <c r="K65" s="124"/>
      <c r="L65" s="125">
        <f t="shared" si="7"/>
        <v>52701.232499999998</v>
      </c>
      <c r="M65" s="51"/>
    </row>
    <row r="66" spans="2:14" ht="31.15" customHeight="1" thickBot="1" x14ac:dyDescent="0.3">
      <c r="B66" s="20" t="s">
        <v>67</v>
      </c>
      <c r="C66" s="27"/>
      <c r="D66" s="28" t="s">
        <v>23</v>
      </c>
      <c r="E66" s="29" t="s">
        <v>164</v>
      </c>
      <c r="F66" s="29" t="s">
        <v>165</v>
      </c>
      <c r="G66" s="30"/>
      <c r="H66" s="30"/>
      <c r="I66" s="30"/>
      <c r="J66" s="31">
        <f>SUM(J67)</f>
        <v>19072.367999999999</v>
      </c>
      <c r="K66" s="31">
        <f>SUM(K67)</f>
        <v>0</v>
      </c>
      <c r="L66" s="32">
        <f>SUM(L67)</f>
        <v>19072.367999999999</v>
      </c>
      <c r="M66" s="21"/>
    </row>
    <row r="67" spans="2:14" ht="31.15" customHeight="1" thickBot="1" x14ac:dyDescent="0.3">
      <c r="B67" s="33"/>
      <c r="C67" s="145" t="s">
        <v>166</v>
      </c>
      <c r="D67" s="145" t="s">
        <v>167</v>
      </c>
      <c r="E67" s="146"/>
      <c r="F67" s="147" t="s">
        <v>168</v>
      </c>
      <c r="G67" s="148" t="s">
        <v>57</v>
      </c>
      <c r="H67" s="149">
        <v>100.8</v>
      </c>
      <c r="I67" s="150">
        <v>189.21</v>
      </c>
      <c r="J67" s="151">
        <f>SUM(L67)</f>
        <v>19072.367999999999</v>
      </c>
      <c r="K67" s="152"/>
      <c r="L67" s="153">
        <f>SUM(H67*I67)</f>
        <v>19072.367999999999</v>
      </c>
      <c r="M67" s="51" t="s">
        <v>169</v>
      </c>
    </row>
    <row r="68" spans="2:14" ht="31.15" customHeight="1" thickBot="1" x14ac:dyDescent="0.3">
      <c r="B68" s="20" t="s">
        <v>67</v>
      </c>
      <c r="C68" s="27"/>
      <c r="D68" s="28" t="s">
        <v>23</v>
      </c>
      <c r="E68" s="29" t="s">
        <v>170</v>
      </c>
      <c r="F68" s="29" t="s">
        <v>171</v>
      </c>
      <c r="G68" s="30"/>
      <c r="H68" s="30"/>
      <c r="I68" s="30"/>
      <c r="J68" s="31">
        <f>SUM(J69:J71)</f>
        <v>22148.655999999999</v>
      </c>
      <c r="K68" s="31">
        <f>SUM(K69:K71)</f>
        <v>-22606.535492120001</v>
      </c>
      <c r="L68" s="32">
        <f>SUM(J68+K68)</f>
        <v>-457.8794921200024</v>
      </c>
      <c r="M68" s="21"/>
    </row>
    <row r="69" spans="2:14" ht="31.15" customHeight="1" x14ac:dyDescent="0.25">
      <c r="B69" s="20" t="s">
        <v>67</v>
      </c>
      <c r="C69" s="420" t="s">
        <v>175</v>
      </c>
      <c r="D69" s="421"/>
      <c r="E69" s="422"/>
      <c r="F69" s="423" t="s">
        <v>176</v>
      </c>
      <c r="G69" s="424" t="s">
        <v>57</v>
      </c>
      <c r="H69" s="425">
        <v>75.2</v>
      </c>
      <c r="I69" s="426">
        <v>-260.61</v>
      </c>
      <c r="J69" s="427"/>
      <c r="K69" s="428">
        <v>-19597.872000000003</v>
      </c>
      <c r="L69" s="429">
        <v>-19597.872000000003</v>
      </c>
      <c r="M69" s="160"/>
    </row>
    <row r="70" spans="2:14" ht="31.15" customHeight="1" x14ac:dyDescent="0.25">
      <c r="B70" s="33"/>
      <c r="C70" s="430" t="s">
        <v>177</v>
      </c>
      <c r="D70" s="133"/>
      <c r="E70" s="134" t="s">
        <v>178</v>
      </c>
      <c r="F70" s="135" t="s">
        <v>179</v>
      </c>
      <c r="G70" s="136" t="s">
        <v>57</v>
      </c>
      <c r="H70" s="137">
        <v>75.2</v>
      </c>
      <c r="I70" s="138">
        <v>294.52999999999997</v>
      </c>
      <c r="J70" s="74">
        <f>SUM(L70)</f>
        <v>22148.655999999999</v>
      </c>
      <c r="K70" s="109"/>
      <c r="L70" s="132">
        <f t="shared" ref="L70:L71" si="9">SUM(H70*I70)</f>
        <v>22148.655999999999</v>
      </c>
      <c r="M70" s="51" t="s">
        <v>184</v>
      </c>
    </row>
    <row r="71" spans="2:14" ht="31.15" customHeight="1" thickBot="1" x14ac:dyDescent="0.3">
      <c r="B71" s="165"/>
      <c r="C71" s="431" t="s">
        <v>172</v>
      </c>
      <c r="D71" s="432"/>
      <c r="E71" s="433"/>
      <c r="F71" s="434" t="s">
        <v>173</v>
      </c>
      <c r="G71" s="435" t="s">
        <v>174</v>
      </c>
      <c r="H71" s="436">
        <v>19.370740999999999</v>
      </c>
      <c r="I71" s="437">
        <v>-155.32</v>
      </c>
      <c r="J71" s="438"/>
      <c r="K71" s="439">
        <f>SUM(L71)</f>
        <v>-3008.6634921199998</v>
      </c>
      <c r="L71" s="440">
        <f t="shared" si="9"/>
        <v>-3008.6634921199998</v>
      </c>
      <c r="M71" s="51" t="s">
        <v>188</v>
      </c>
    </row>
    <row r="72" spans="2:14" ht="31.15" customHeight="1" thickBot="1" x14ac:dyDescent="0.3">
      <c r="B72" s="165"/>
      <c r="C72" s="27"/>
      <c r="D72" s="28"/>
      <c r="E72" s="29"/>
      <c r="F72" s="29"/>
      <c r="G72" s="30"/>
      <c r="H72" s="30"/>
      <c r="I72" s="30"/>
      <c r="J72" s="31"/>
      <c r="K72" s="31"/>
      <c r="L72" s="32"/>
      <c r="M72" s="51" t="s">
        <v>191</v>
      </c>
    </row>
    <row r="73" spans="2:14" ht="31.15" customHeight="1" thickBot="1" x14ac:dyDescent="0.3">
      <c r="B73" s="20" t="s">
        <v>67</v>
      </c>
      <c r="C73" s="27"/>
      <c r="D73" s="28" t="s">
        <v>23</v>
      </c>
      <c r="E73" s="29" t="s">
        <v>180</v>
      </c>
      <c r="F73" s="29" t="s">
        <v>181</v>
      </c>
      <c r="G73" s="30"/>
      <c r="H73" s="30"/>
      <c r="I73" s="30"/>
      <c r="J73" s="31">
        <f>SUM(J74:J76)</f>
        <v>44010.038399999998</v>
      </c>
      <c r="K73" s="31">
        <f>SUM(K74:K76)</f>
        <v>-67489.63248</v>
      </c>
      <c r="L73" s="32">
        <f>SUM(L74:L76)</f>
        <v>-23479.594080000003</v>
      </c>
      <c r="M73" s="21"/>
    </row>
    <row r="74" spans="2:14" ht="31.15" customHeight="1" x14ac:dyDescent="0.25">
      <c r="B74" s="33"/>
      <c r="C74" s="85" t="s">
        <v>182</v>
      </c>
      <c r="D74" s="161"/>
      <c r="E74" s="162"/>
      <c r="F74" s="87" t="s">
        <v>183</v>
      </c>
      <c r="G74" s="88" t="s">
        <v>57</v>
      </c>
      <c r="H74" s="89">
        <v>544.00800000000004</v>
      </c>
      <c r="I74" s="90">
        <v>-124.06</v>
      </c>
      <c r="J74" s="163"/>
      <c r="K74" s="164">
        <f>SUM(L74)</f>
        <v>-67489.63248</v>
      </c>
      <c r="L74" s="93">
        <f>SUM(H74*I74)</f>
        <v>-67489.63248</v>
      </c>
      <c r="M74" s="51" t="s">
        <v>197</v>
      </c>
    </row>
    <row r="75" spans="2:14" ht="31.15" customHeight="1" x14ac:dyDescent="0.25">
      <c r="B75" s="20" t="s">
        <v>67</v>
      </c>
      <c r="C75" s="94" t="s">
        <v>185</v>
      </c>
      <c r="D75" s="94" t="s">
        <v>52</v>
      </c>
      <c r="E75" s="95" t="s">
        <v>186</v>
      </c>
      <c r="F75" s="96" t="s">
        <v>187</v>
      </c>
      <c r="G75" s="97" t="s">
        <v>57</v>
      </c>
      <c r="H75" s="98">
        <v>544.00800000000004</v>
      </c>
      <c r="I75" s="99">
        <v>54.8</v>
      </c>
      <c r="J75" s="74">
        <f>SUM(L75)</f>
        <v>29811.6384</v>
      </c>
      <c r="K75" s="109"/>
      <c r="L75" s="101">
        <f>SUM(H75*I75)</f>
        <v>29811.6384</v>
      </c>
      <c r="M75" s="21"/>
    </row>
    <row r="76" spans="2:14" ht="31.15" customHeight="1" thickBot="1" x14ac:dyDescent="0.3">
      <c r="B76" s="33"/>
      <c r="C76" s="166" t="s">
        <v>189</v>
      </c>
      <c r="D76" s="166" t="s">
        <v>52</v>
      </c>
      <c r="E76" s="167" t="s">
        <v>186</v>
      </c>
      <c r="F76" s="168" t="s">
        <v>190</v>
      </c>
      <c r="G76" s="169" t="s">
        <v>65</v>
      </c>
      <c r="H76" s="170">
        <v>144</v>
      </c>
      <c r="I76" s="171">
        <v>98.6</v>
      </c>
      <c r="J76" s="75">
        <f>SUM(L76)</f>
        <v>14198.4</v>
      </c>
      <c r="K76" s="124"/>
      <c r="L76" s="125">
        <f>SUM(H76*I76)</f>
        <v>14198.4</v>
      </c>
      <c r="M76" s="51" t="s">
        <v>203</v>
      </c>
    </row>
    <row r="77" spans="2:14" ht="31.15" customHeight="1" thickBot="1" x14ac:dyDescent="0.3">
      <c r="B77" s="33"/>
      <c r="C77" s="27"/>
      <c r="D77" s="28" t="s">
        <v>23</v>
      </c>
      <c r="E77" s="29" t="s">
        <v>192</v>
      </c>
      <c r="F77" s="29" t="s">
        <v>193</v>
      </c>
      <c r="G77" s="30"/>
      <c r="H77" s="30"/>
      <c r="I77" s="30"/>
      <c r="J77" s="31">
        <f>SUM(J78)</f>
        <v>1653.8</v>
      </c>
      <c r="K77" s="31">
        <f>SUM(K78)</f>
        <v>0</v>
      </c>
      <c r="L77" s="32">
        <f>SUM(L78)</f>
        <v>1653.8</v>
      </c>
      <c r="M77" s="51" t="s">
        <v>203</v>
      </c>
    </row>
    <row r="78" spans="2:14" ht="31.15" customHeight="1" thickBot="1" x14ac:dyDescent="0.3">
      <c r="B78" s="33"/>
      <c r="C78" s="145" t="s">
        <v>194</v>
      </c>
      <c r="D78" s="145"/>
      <c r="E78" s="146"/>
      <c r="F78" s="147" t="s">
        <v>195</v>
      </c>
      <c r="G78" s="148" t="s">
        <v>196</v>
      </c>
      <c r="H78" s="149">
        <v>1</v>
      </c>
      <c r="I78" s="150">
        <v>1653.8</v>
      </c>
      <c r="J78" s="151">
        <f>SUM(L78)</f>
        <v>1653.8</v>
      </c>
      <c r="K78" s="152"/>
      <c r="L78" s="153">
        <f>SUM(H78*I78)</f>
        <v>1653.8</v>
      </c>
      <c r="M78" s="51" t="s">
        <v>203</v>
      </c>
    </row>
    <row r="79" spans="2:14" ht="31.15" customHeight="1" thickBot="1" x14ac:dyDescent="0.3">
      <c r="B79" s="33"/>
      <c r="C79" s="27"/>
      <c r="D79" s="28" t="s">
        <v>23</v>
      </c>
      <c r="E79" s="29" t="s">
        <v>198</v>
      </c>
      <c r="F79" s="29" t="s">
        <v>199</v>
      </c>
      <c r="G79" s="30"/>
      <c r="H79" s="30"/>
      <c r="I79" s="30"/>
      <c r="J79" s="31">
        <f>SUM(J80:J86)</f>
        <v>104706.62000000001</v>
      </c>
      <c r="K79" s="31">
        <f>SUM(K80:K86)</f>
        <v>-42751.8</v>
      </c>
      <c r="L79" s="32">
        <f>SUM(L80:L86)</f>
        <v>61954.820000000007</v>
      </c>
      <c r="M79" s="51" t="s">
        <v>203</v>
      </c>
      <c r="N79" t="s">
        <v>529</v>
      </c>
    </row>
    <row r="80" spans="2:14" ht="31.15" customHeight="1" x14ac:dyDescent="0.25">
      <c r="B80" s="33"/>
      <c r="C80" s="85" t="s">
        <v>200</v>
      </c>
      <c r="D80" s="85" t="s">
        <v>52</v>
      </c>
      <c r="E80" s="86" t="s">
        <v>201</v>
      </c>
      <c r="F80" s="87" t="s">
        <v>202</v>
      </c>
      <c r="G80" s="88" t="s">
        <v>57</v>
      </c>
      <c r="H80" s="89">
        <v>-714</v>
      </c>
      <c r="I80" s="90">
        <v>14.37</v>
      </c>
      <c r="J80" s="91"/>
      <c r="K80" s="92">
        <f>SUM(L80)</f>
        <v>-10260.18</v>
      </c>
      <c r="L80" s="132">
        <f>SUM(H80*I80)</f>
        <v>-10260.18</v>
      </c>
      <c r="M80" s="175" t="s">
        <v>215</v>
      </c>
      <c r="N80" s="337">
        <v>341</v>
      </c>
    </row>
    <row r="81" spans="2:13" ht="31.15" customHeight="1" x14ac:dyDescent="0.25">
      <c r="B81" s="33"/>
      <c r="C81" s="102" t="s">
        <v>204</v>
      </c>
      <c r="D81" s="102" t="s">
        <v>52</v>
      </c>
      <c r="E81" s="103" t="s">
        <v>205</v>
      </c>
      <c r="F81" s="104" t="s">
        <v>206</v>
      </c>
      <c r="G81" s="105" t="s">
        <v>57</v>
      </c>
      <c r="H81" s="106">
        <v>-42840</v>
      </c>
      <c r="I81" s="107">
        <v>0.31</v>
      </c>
      <c r="J81" s="108"/>
      <c r="K81" s="92">
        <f t="shared" ref="K81:K83" si="10">SUM(L81)</f>
        <v>-13280.4</v>
      </c>
      <c r="L81" s="101">
        <f t="shared" ref="L81:L83" si="11">SUM(H81*I81)</f>
        <v>-13280.4</v>
      </c>
      <c r="M81" s="175" t="s">
        <v>215</v>
      </c>
    </row>
    <row r="82" spans="2:13" ht="31.15" customHeight="1" x14ac:dyDescent="0.25">
      <c r="B82" s="33"/>
      <c r="C82" s="102" t="s">
        <v>207</v>
      </c>
      <c r="D82" s="102" t="s">
        <v>52</v>
      </c>
      <c r="E82" s="103" t="s">
        <v>208</v>
      </c>
      <c r="F82" s="104" t="s">
        <v>209</v>
      </c>
      <c r="G82" s="105" t="s">
        <v>57</v>
      </c>
      <c r="H82" s="106">
        <v>-714</v>
      </c>
      <c r="I82" s="107">
        <v>9.73</v>
      </c>
      <c r="J82" s="108"/>
      <c r="K82" s="92">
        <f t="shared" si="10"/>
        <v>-6947.22</v>
      </c>
      <c r="L82" s="101">
        <f t="shared" si="11"/>
        <v>-6947.22</v>
      </c>
      <c r="M82" s="175" t="s">
        <v>215</v>
      </c>
    </row>
    <row r="83" spans="2:13" ht="31.15" customHeight="1" x14ac:dyDescent="0.25">
      <c r="B83" s="20" t="s">
        <v>67</v>
      </c>
      <c r="C83" s="331" t="s">
        <v>210</v>
      </c>
      <c r="D83" s="172" t="s">
        <v>52</v>
      </c>
      <c r="E83" s="103" t="s">
        <v>211</v>
      </c>
      <c r="F83" s="104" t="s">
        <v>212</v>
      </c>
      <c r="G83" s="105" t="s">
        <v>57</v>
      </c>
      <c r="H83" s="106">
        <v>-300</v>
      </c>
      <c r="I83" s="107">
        <v>40.880000000000003</v>
      </c>
      <c r="J83" s="108"/>
      <c r="K83" s="92">
        <f t="shared" si="10"/>
        <v>-12264</v>
      </c>
      <c r="L83" s="101">
        <f t="shared" si="11"/>
        <v>-12264</v>
      </c>
      <c r="M83" s="21"/>
    </row>
    <row r="84" spans="2:13" ht="31.15" customHeight="1" x14ac:dyDescent="0.25">
      <c r="B84" s="33"/>
      <c r="C84" s="332" t="s">
        <v>213</v>
      </c>
      <c r="D84" s="94" t="s">
        <v>52</v>
      </c>
      <c r="E84" s="95" t="s">
        <v>211</v>
      </c>
      <c r="F84" s="96" t="s">
        <v>214</v>
      </c>
      <c r="G84" s="97" t="s">
        <v>57</v>
      </c>
      <c r="H84" s="338">
        <v>662</v>
      </c>
      <c r="I84" s="99">
        <v>38.200000000000003</v>
      </c>
      <c r="J84" s="173">
        <f>SUM(L84)</f>
        <v>25288.400000000001</v>
      </c>
      <c r="K84" s="164"/>
      <c r="L84" s="174">
        <f>SUM(H84*I84)</f>
        <v>25288.400000000001</v>
      </c>
      <c r="M84" s="183" t="s">
        <v>223</v>
      </c>
    </row>
    <row r="85" spans="2:13" ht="31.15" customHeight="1" x14ac:dyDescent="0.25">
      <c r="B85" s="33"/>
      <c r="C85" s="94" t="s">
        <v>216</v>
      </c>
      <c r="D85" s="94" t="s">
        <v>52</v>
      </c>
      <c r="E85" s="95" t="s">
        <v>217</v>
      </c>
      <c r="F85" s="96" t="s">
        <v>214</v>
      </c>
      <c r="G85" s="97" t="s">
        <v>57</v>
      </c>
      <c r="H85" s="98">
        <v>40540</v>
      </c>
      <c r="I85" s="99">
        <v>1.58</v>
      </c>
      <c r="J85" s="173">
        <f t="shared" ref="J85:J86" si="12">SUM(L85)</f>
        <v>64053.200000000004</v>
      </c>
      <c r="K85" s="164"/>
      <c r="L85" s="174">
        <f>SUM(H85*I85)</f>
        <v>64053.200000000004</v>
      </c>
      <c r="M85" s="183" t="s">
        <v>223</v>
      </c>
    </row>
    <row r="86" spans="2:13" ht="31.15" customHeight="1" thickBot="1" x14ac:dyDescent="0.3">
      <c r="B86" s="33"/>
      <c r="C86" s="166" t="s">
        <v>218</v>
      </c>
      <c r="D86" s="166" t="s">
        <v>52</v>
      </c>
      <c r="E86" s="167" t="s">
        <v>219</v>
      </c>
      <c r="F86" s="168" t="s">
        <v>214</v>
      </c>
      <c r="G86" s="169" t="s">
        <v>57</v>
      </c>
      <c r="H86" s="170">
        <v>662</v>
      </c>
      <c r="I86" s="171">
        <v>23.21</v>
      </c>
      <c r="J86" s="173">
        <f t="shared" si="12"/>
        <v>15365.02</v>
      </c>
      <c r="K86" s="176"/>
      <c r="L86" s="177">
        <f>SUM(H86*I86)</f>
        <v>15365.02</v>
      </c>
      <c r="M86" s="183" t="s">
        <v>223</v>
      </c>
    </row>
    <row r="87" spans="2:13" ht="31.15" customHeight="1" thickBot="1" x14ac:dyDescent="0.3">
      <c r="B87" s="33"/>
      <c r="C87" s="27"/>
      <c r="D87" s="28" t="s">
        <v>23</v>
      </c>
      <c r="E87" s="29" t="s">
        <v>220</v>
      </c>
      <c r="F87" s="29" t="s">
        <v>221</v>
      </c>
      <c r="G87" s="30"/>
      <c r="H87" s="30"/>
      <c r="I87" s="30"/>
      <c r="J87" s="31">
        <f>SUM(J88:J100)</f>
        <v>219156.5</v>
      </c>
      <c r="K87" s="31">
        <f>SUM(K88:K100)</f>
        <v>0</v>
      </c>
      <c r="L87" s="32">
        <f>SUM(L88:L100)</f>
        <v>219156.5</v>
      </c>
      <c r="M87" s="183" t="s">
        <v>223</v>
      </c>
    </row>
    <row r="88" spans="2:13" ht="31.15" customHeight="1" x14ac:dyDescent="0.25">
      <c r="B88" s="33"/>
      <c r="C88" s="178"/>
      <c r="D88" s="178"/>
      <c r="E88" s="178"/>
      <c r="F88" s="178" t="s">
        <v>222</v>
      </c>
      <c r="G88" s="179" t="s">
        <v>174</v>
      </c>
      <c r="H88" s="180">
        <v>240</v>
      </c>
      <c r="I88" s="181">
        <v>105.5</v>
      </c>
      <c r="J88" s="73">
        <f>SUM(L88)</f>
        <v>25320</v>
      </c>
      <c r="K88" s="182"/>
      <c r="L88" s="93">
        <f t="shared" ref="L88:L100" si="13">H88*I88</f>
        <v>25320</v>
      </c>
      <c r="M88" s="183" t="s">
        <v>223</v>
      </c>
    </row>
    <row r="89" spans="2:13" ht="31.15" customHeight="1" x14ac:dyDescent="0.25">
      <c r="B89" s="33"/>
      <c r="C89" s="96"/>
      <c r="D89" s="96"/>
      <c r="E89" s="96"/>
      <c r="F89" s="96" t="s">
        <v>224</v>
      </c>
      <c r="G89" s="97" t="s">
        <v>174</v>
      </c>
      <c r="H89" s="98">
        <v>250</v>
      </c>
      <c r="I89" s="99">
        <v>6.5</v>
      </c>
      <c r="J89" s="74">
        <f t="shared" ref="J89:J100" si="14">SUM(L89)</f>
        <v>1625</v>
      </c>
      <c r="K89" s="184"/>
      <c r="L89" s="174">
        <f t="shared" si="13"/>
        <v>1625</v>
      </c>
      <c r="M89" s="183" t="s">
        <v>223</v>
      </c>
    </row>
    <row r="90" spans="2:13" ht="31.15" customHeight="1" x14ac:dyDescent="0.25">
      <c r="B90" s="33"/>
      <c r="C90" s="96"/>
      <c r="D90" s="96"/>
      <c r="E90" s="96"/>
      <c r="F90" s="96" t="s">
        <v>225</v>
      </c>
      <c r="G90" s="97" t="s">
        <v>226</v>
      </c>
      <c r="H90" s="98">
        <v>270</v>
      </c>
      <c r="I90" s="99">
        <v>10</v>
      </c>
      <c r="J90" s="74">
        <f t="shared" si="14"/>
        <v>2700</v>
      </c>
      <c r="K90" s="184"/>
      <c r="L90" s="174">
        <f t="shared" si="13"/>
        <v>2700</v>
      </c>
      <c r="M90" s="183" t="s">
        <v>223</v>
      </c>
    </row>
    <row r="91" spans="2:13" ht="31.15" customHeight="1" x14ac:dyDescent="0.25">
      <c r="B91" s="33"/>
      <c r="C91" s="96"/>
      <c r="D91" s="96"/>
      <c r="E91" s="96"/>
      <c r="F91" s="96" t="s">
        <v>227</v>
      </c>
      <c r="G91" s="97" t="s">
        <v>174</v>
      </c>
      <c r="H91" s="98">
        <v>240</v>
      </c>
      <c r="I91" s="99">
        <v>35.799999999999997</v>
      </c>
      <c r="J91" s="74">
        <f t="shared" si="14"/>
        <v>8592</v>
      </c>
      <c r="K91" s="184"/>
      <c r="L91" s="174">
        <f t="shared" si="13"/>
        <v>8592</v>
      </c>
      <c r="M91" s="183" t="s">
        <v>223</v>
      </c>
    </row>
    <row r="92" spans="2:13" ht="31.15" customHeight="1" x14ac:dyDescent="0.25">
      <c r="B92" s="33"/>
      <c r="C92" s="96"/>
      <c r="D92" s="96"/>
      <c r="E92" s="96"/>
      <c r="F92" s="96" t="s">
        <v>228</v>
      </c>
      <c r="G92" s="97" t="s">
        <v>226</v>
      </c>
      <c r="H92" s="98">
        <v>6</v>
      </c>
      <c r="I92" s="185">
        <v>3100</v>
      </c>
      <c r="J92" s="74">
        <f t="shared" si="14"/>
        <v>18600</v>
      </c>
      <c r="K92" s="184"/>
      <c r="L92" s="174">
        <f t="shared" si="13"/>
        <v>18600</v>
      </c>
      <c r="M92" s="183" t="s">
        <v>223</v>
      </c>
    </row>
    <row r="93" spans="2:13" ht="31.15" customHeight="1" x14ac:dyDescent="0.25">
      <c r="B93" s="33"/>
      <c r="C93" s="186"/>
      <c r="D93" s="96" t="s">
        <v>229</v>
      </c>
      <c r="E93" s="96"/>
      <c r="F93" s="96" t="s">
        <v>230</v>
      </c>
      <c r="G93" s="97" t="s">
        <v>231</v>
      </c>
      <c r="H93" s="98">
        <v>1</v>
      </c>
      <c r="I93" s="99">
        <v>15598</v>
      </c>
      <c r="J93" s="74">
        <f t="shared" si="14"/>
        <v>15598</v>
      </c>
      <c r="K93" s="184"/>
      <c r="L93" s="174">
        <f t="shared" si="13"/>
        <v>15598</v>
      </c>
      <c r="M93" s="183" t="s">
        <v>223</v>
      </c>
    </row>
    <row r="94" spans="2:13" ht="31.15" customHeight="1" x14ac:dyDescent="0.25">
      <c r="B94" s="33"/>
      <c r="C94" s="96"/>
      <c r="D94" s="96"/>
      <c r="E94" s="96"/>
      <c r="F94" s="96" t="s">
        <v>232</v>
      </c>
      <c r="G94" s="97" t="s">
        <v>226</v>
      </c>
      <c r="H94" s="98">
        <v>1</v>
      </c>
      <c r="I94" s="99">
        <v>12589</v>
      </c>
      <c r="J94" s="74">
        <f t="shared" si="14"/>
        <v>12589</v>
      </c>
      <c r="K94" s="184"/>
      <c r="L94" s="174">
        <f t="shared" si="13"/>
        <v>12589</v>
      </c>
      <c r="M94" s="183" t="s">
        <v>223</v>
      </c>
    </row>
    <row r="95" spans="2:13" ht="31.15" customHeight="1" x14ac:dyDescent="0.25">
      <c r="B95" s="33"/>
      <c r="C95" s="96"/>
      <c r="D95" s="96" t="s">
        <v>233</v>
      </c>
      <c r="E95" s="96"/>
      <c r="F95" s="96" t="s">
        <v>234</v>
      </c>
      <c r="G95" s="97" t="s">
        <v>174</v>
      </c>
      <c r="H95" s="98">
        <v>65</v>
      </c>
      <c r="I95" s="99">
        <v>1255.5</v>
      </c>
      <c r="J95" s="74">
        <f t="shared" si="14"/>
        <v>81607.5</v>
      </c>
      <c r="K95" s="184"/>
      <c r="L95" s="174">
        <f t="shared" si="13"/>
        <v>81607.5</v>
      </c>
      <c r="M95" s="183" t="s">
        <v>223</v>
      </c>
    </row>
    <row r="96" spans="2:13" ht="31.15" customHeight="1" x14ac:dyDescent="0.25">
      <c r="B96" s="33"/>
      <c r="C96" s="96"/>
      <c r="D96" s="96"/>
      <c r="E96" s="96"/>
      <c r="F96" s="96" t="s">
        <v>235</v>
      </c>
      <c r="G96" s="97" t="s">
        <v>226</v>
      </c>
      <c r="H96" s="98">
        <v>1</v>
      </c>
      <c r="I96" s="99">
        <v>5565</v>
      </c>
      <c r="J96" s="74">
        <f t="shared" si="14"/>
        <v>5565</v>
      </c>
      <c r="K96" s="184"/>
      <c r="L96" s="174">
        <f t="shared" si="13"/>
        <v>5565</v>
      </c>
      <c r="M96" s="183" t="s">
        <v>223</v>
      </c>
    </row>
    <row r="97" spans="2:13" ht="31.15" customHeight="1" x14ac:dyDescent="0.25">
      <c r="B97" s="20" t="s">
        <v>67</v>
      </c>
      <c r="C97" s="96"/>
      <c r="D97" s="96"/>
      <c r="E97" s="96"/>
      <c r="F97" s="96" t="s">
        <v>236</v>
      </c>
      <c r="G97" s="97" t="s">
        <v>174</v>
      </c>
      <c r="H97" s="98">
        <v>70</v>
      </c>
      <c r="I97" s="99">
        <v>458.5</v>
      </c>
      <c r="J97" s="74">
        <f t="shared" si="14"/>
        <v>32095</v>
      </c>
      <c r="K97" s="184"/>
      <c r="L97" s="174">
        <f t="shared" si="13"/>
        <v>32095</v>
      </c>
      <c r="M97" s="51"/>
    </row>
    <row r="98" spans="2:13" ht="31.15" customHeight="1" x14ac:dyDescent="0.25">
      <c r="B98" s="33"/>
      <c r="C98" s="96"/>
      <c r="D98" s="96"/>
      <c r="E98" s="96"/>
      <c r="F98" s="96" t="s">
        <v>237</v>
      </c>
      <c r="G98" s="97" t="s">
        <v>174</v>
      </c>
      <c r="H98" s="98">
        <v>1</v>
      </c>
      <c r="I98" s="99">
        <v>3565</v>
      </c>
      <c r="J98" s="74">
        <f t="shared" si="14"/>
        <v>3565</v>
      </c>
      <c r="K98" s="184"/>
      <c r="L98" s="174">
        <f t="shared" si="13"/>
        <v>3565</v>
      </c>
      <c r="M98" s="191" t="s">
        <v>246</v>
      </c>
    </row>
    <row r="99" spans="2:13" ht="31.15" customHeight="1" x14ac:dyDescent="0.25">
      <c r="B99" s="33"/>
      <c r="C99" s="96"/>
      <c r="D99" s="96" t="s">
        <v>238</v>
      </c>
      <c r="E99" s="96"/>
      <c r="F99" s="96" t="s">
        <v>239</v>
      </c>
      <c r="G99" s="97" t="s">
        <v>231</v>
      </c>
      <c r="H99" s="98">
        <v>1</v>
      </c>
      <c r="I99" s="99">
        <v>5400</v>
      </c>
      <c r="J99" s="74">
        <f t="shared" si="14"/>
        <v>5400</v>
      </c>
      <c r="K99" s="184"/>
      <c r="L99" s="174">
        <f t="shared" si="13"/>
        <v>5400</v>
      </c>
      <c r="M99" s="51" t="s">
        <v>250</v>
      </c>
    </row>
    <row r="100" spans="2:13" ht="31.15" customHeight="1" thickBot="1" x14ac:dyDescent="0.3">
      <c r="B100" s="33"/>
      <c r="C100" s="168"/>
      <c r="D100" s="168"/>
      <c r="E100" s="168"/>
      <c r="F100" s="168" t="s">
        <v>240</v>
      </c>
      <c r="G100" s="169" t="s">
        <v>231</v>
      </c>
      <c r="H100" s="170">
        <v>1</v>
      </c>
      <c r="I100" s="171">
        <v>5900</v>
      </c>
      <c r="J100" s="75">
        <f t="shared" si="14"/>
        <v>5900</v>
      </c>
      <c r="K100" s="187"/>
      <c r="L100" s="177">
        <f t="shared" si="13"/>
        <v>5900</v>
      </c>
      <c r="M100" s="51" t="s">
        <v>254</v>
      </c>
    </row>
    <row r="101" spans="2:13" ht="31.15" customHeight="1" thickBot="1" x14ac:dyDescent="0.3">
      <c r="B101" s="33"/>
      <c r="C101" s="27"/>
      <c r="D101" s="28" t="s">
        <v>23</v>
      </c>
      <c r="E101" s="29" t="s">
        <v>241</v>
      </c>
      <c r="F101" s="29" t="s">
        <v>242</v>
      </c>
      <c r="G101" s="30"/>
      <c r="H101" s="30"/>
      <c r="I101" s="30"/>
      <c r="J101" s="31">
        <f>SUM(J102:J106)</f>
        <v>33524.409</v>
      </c>
      <c r="K101" s="31">
        <f>SUM(K102:K106)</f>
        <v>0</v>
      </c>
      <c r="L101" s="32">
        <f>SUM(L102:L106)</f>
        <v>33524.409</v>
      </c>
      <c r="M101" s="51" t="s">
        <v>254</v>
      </c>
    </row>
    <row r="102" spans="2:13" ht="31.15" customHeight="1" x14ac:dyDescent="0.25">
      <c r="B102" s="33"/>
      <c r="C102" s="188" t="s">
        <v>243</v>
      </c>
      <c r="D102" s="188" t="s">
        <v>52</v>
      </c>
      <c r="E102" s="189" t="s">
        <v>244</v>
      </c>
      <c r="F102" s="178" t="s">
        <v>245</v>
      </c>
      <c r="G102" s="179" t="s">
        <v>47</v>
      </c>
      <c r="H102" s="180">
        <v>4.2000000000000003E-2</v>
      </c>
      <c r="I102" s="181">
        <v>46856.25</v>
      </c>
      <c r="J102" s="73">
        <f>SUM(L102)</f>
        <v>1967.96</v>
      </c>
      <c r="K102" s="190"/>
      <c r="L102" s="93">
        <f>ROUND(I102*H102,2)</f>
        <v>1967.96</v>
      </c>
      <c r="M102" s="51" t="s">
        <v>261</v>
      </c>
    </row>
    <row r="103" spans="2:13" ht="31.15" customHeight="1" x14ac:dyDescent="0.25">
      <c r="B103" s="20" t="s">
        <v>67</v>
      </c>
      <c r="C103" s="94" t="s">
        <v>247</v>
      </c>
      <c r="D103" s="94" t="s">
        <v>52</v>
      </c>
      <c r="E103" s="95" t="s">
        <v>248</v>
      </c>
      <c r="F103" s="96" t="s">
        <v>249</v>
      </c>
      <c r="G103" s="97" t="s">
        <v>57</v>
      </c>
      <c r="H103" s="98">
        <v>87.2</v>
      </c>
      <c r="I103" s="99">
        <v>97.28</v>
      </c>
      <c r="J103" s="74">
        <f t="shared" ref="J103:J106" si="15">SUM(L103)</f>
        <v>8482.8160000000007</v>
      </c>
      <c r="K103" s="109"/>
      <c r="L103" s="101">
        <f>SUM(H103*I103)</f>
        <v>8482.8160000000007</v>
      </c>
      <c r="M103" s="21"/>
    </row>
    <row r="104" spans="2:13" ht="31.15" customHeight="1" x14ac:dyDescent="0.25">
      <c r="B104" s="33"/>
      <c r="C104" s="94" t="s">
        <v>251</v>
      </c>
      <c r="D104" s="94" t="s">
        <v>52</v>
      </c>
      <c r="E104" s="95" t="s">
        <v>252</v>
      </c>
      <c r="F104" s="96" t="s">
        <v>253</v>
      </c>
      <c r="G104" s="97" t="s">
        <v>57</v>
      </c>
      <c r="H104" s="98">
        <v>54.5</v>
      </c>
      <c r="I104" s="99">
        <v>189.21</v>
      </c>
      <c r="J104" s="74">
        <f t="shared" si="15"/>
        <v>10311.945</v>
      </c>
      <c r="K104" s="109"/>
      <c r="L104" s="101">
        <f>SUM(H104*I104)</f>
        <v>10311.945</v>
      </c>
      <c r="M104" s="51" t="s">
        <v>267</v>
      </c>
    </row>
    <row r="105" spans="2:13" ht="31.15" customHeight="1" x14ac:dyDescent="0.25">
      <c r="B105" s="20" t="s">
        <v>67</v>
      </c>
      <c r="C105" s="94" t="s">
        <v>255</v>
      </c>
      <c r="D105" s="94" t="s">
        <v>52</v>
      </c>
      <c r="E105" s="95" t="s">
        <v>256</v>
      </c>
      <c r="F105" s="96" t="s">
        <v>257</v>
      </c>
      <c r="G105" s="97" t="s">
        <v>57</v>
      </c>
      <c r="H105" s="98">
        <v>60</v>
      </c>
      <c r="I105" s="99">
        <v>29.6</v>
      </c>
      <c r="J105" s="74">
        <f t="shared" si="15"/>
        <v>1776</v>
      </c>
      <c r="K105" s="109"/>
      <c r="L105" s="101">
        <f>SUM(H105*I105)</f>
        <v>1776</v>
      </c>
      <c r="M105" s="21"/>
    </row>
    <row r="106" spans="2:13" ht="31.15" customHeight="1" thickBot="1" x14ac:dyDescent="0.3">
      <c r="B106" s="33"/>
      <c r="C106" s="166" t="s">
        <v>258</v>
      </c>
      <c r="D106" s="166" t="s">
        <v>52</v>
      </c>
      <c r="E106" s="167" t="s">
        <v>259</v>
      </c>
      <c r="F106" s="168" t="s">
        <v>260</v>
      </c>
      <c r="G106" s="169" t="s">
        <v>57</v>
      </c>
      <c r="H106" s="170">
        <v>12.78</v>
      </c>
      <c r="I106" s="171">
        <v>859.6</v>
      </c>
      <c r="J106" s="75">
        <f t="shared" si="15"/>
        <v>10985.688</v>
      </c>
      <c r="K106" s="124"/>
      <c r="L106" s="125">
        <f>SUM(H106*I106)</f>
        <v>10985.688</v>
      </c>
      <c r="M106" s="51" t="s">
        <v>273</v>
      </c>
    </row>
    <row r="107" spans="2:13" ht="31.15" customHeight="1" thickBot="1" x14ac:dyDescent="0.3">
      <c r="B107" s="33"/>
      <c r="C107" s="27"/>
      <c r="D107" s="28" t="s">
        <v>23</v>
      </c>
      <c r="E107" s="29" t="s">
        <v>262</v>
      </c>
      <c r="F107" s="29" t="s">
        <v>263</v>
      </c>
      <c r="G107" s="30"/>
      <c r="H107" s="30"/>
      <c r="I107" s="30"/>
      <c r="J107" s="31">
        <f>SUM(J108)</f>
        <v>0</v>
      </c>
      <c r="K107" s="31">
        <f>SUM(K108)</f>
        <v>-2746.7798400000001</v>
      </c>
      <c r="L107" s="32">
        <f>SUM(L108)</f>
        <v>-2746.7798400000001</v>
      </c>
      <c r="M107" s="51" t="s">
        <v>273</v>
      </c>
    </row>
    <row r="108" spans="2:13" ht="31.15" customHeight="1" thickBot="1" x14ac:dyDescent="0.3">
      <c r="B108" s="20" t="s">
        <v>67</v>
      </c>
      <c r="C108" s="192" t="s">
        <v>264</v>
      </c>
      <c r="D108" s="192" t="s">
        <v>52</v>
      </c>
      <c r="E108" s="193" t="s">
        <v>265</v>
      </c>
      <c r="F108" s="194" t="s">
        <v>266</v>
      </c>
      <c r="G108" s="195" t="s">
        <v>57</v>
      </c>
      <c r="H108" s="196">
        <v>-35.783999999999999</v>
      </c>
      <c r="I108" s="197">
        <v>76.760000000000005</v>
      </c>
      <c r="J108" s="198"/>
      <c r="K108" s="152">
        <f>SUM(L108)</f>
        <v>-2746.7798400000001</v>
      </c>
      <c r="L108" s="153">
        <f>SUM(H108*I108)</f>
        <v>-2746.7798400000001</v>
      </c>
      <c r="M108" s="21"/>
    </row>
    <row r="109" spans="2:13" ht="31.15" customHeight="1" thickBot="1" x14ac:dyDescent="0.3">
      <c r="B109" s="33"/>
      <c r="C109" s="27"/>
      <c r="D109" s="28" t="s">
        <v>23</v>
      </c>
      <c r="E109" s="29" t="s">
        <v>268</v>
      </c>
      <c r="F109" s="29" t="s">
        <v>269</v>
      </c>
      <c r="G109" s="30"/>
      <c r="H109" s="30"/>
      <c r="I109" s="30"/>
      <c r="J109" s="31">
        <f>SUM(J110:J111)</f>
        <v>0</v>
      </c>
      <c r="K109" s="31">
        <f>SUM(K110:K111)</f>
        <v>-4560.68</v>
      </c>
      <c r="L109" s="32">
        <f>SUM(L110:L111)</f>
        <v>-4560.68</v>
      </c>
      <c r="M109" s="51" t="s">
        <v>273</v>
      </c>
    </row>
    <row r="110" spans="2:13" ht="31.15" customHeight="1" x14ac:dyDescent="0.25">
      <c r="B110" s="33"/>
      <c r="C110" s="126" t="s">
        <v>270</v>
      </c>
      <c r="D110" s="126" t="s">
        <v>52</v>
      </c>
      <c r="E110" s="127" t="s">
        <v>271</v>
      </c>
      <c r="F110" s="128" t="s">
        <v>272</v>
      </c>
      <c r="G110" s="129" t="s">
        <v>196</v>
      </c>
      <c r="H110" s="130">
        <v>-1</v>
      </c>
      <c r="I110" s="131">
        <v>4046.6</v>
      </c>
      <c r="J110" s="91"/>
      <c r="K110" s="92">
        <f>SUM(L110)</f>
        <v>-4046.6</v>
      </c>
      <c r="L110" s="132">
        <f>SUM(H110*I110)</f>
        <v>-4046.6</v>
      </c>
      <c r="M110" s="51" t="s">
        <v>273</v>
      </c>
    </row>
    <row r="111" spans="2:13" ht="31.15" customHeight="1" thickBot="1" x14ac:dyDescent="0.3">
      <c r="B111" s="20" t="s">
        <v>67</v>
      </c>
      <c r="C111" s="154" t="s">
        <v>274</v>
      </c>
      <c r="D111" s="154" t="s">
        <v>52</v>
      </c>
      <c r="E111" s="155" t="s">
        <v>275</v>
      </c>
      <c r="F111" s="156" t="s">
        <v>276</v>
      </c>
      <c r="G111" s="157" t="s">
        <v>196</v>
      </c>
      <c r="H111" s="158">
        <v>-1</v>
      </c>
      <c r="I111" s="159">
        <v>514.08000000000004</v>
      </c>
      <c r="J111" s="123"/>
      <c r="K111" s="124">
        <f>SUM(L111)</f>
        <v>-514.08000000000004</v>
      </c>
      <c r="L111" s="153">
        <f>SUM(H111*I111)</f>
        <v>-514.08000000000004</v>
      </c>
      <c r="M111" s="21"/>
    </row>
    <row r="112" spans="2:13" ht="31.15" customHeight="1" thickBot="1" x14ac:dyDescent="0.3">
      <c r="B112" s="33"/>
      <c r="C112" s="27"/>
      <c r="D112" s="28" t="s">
        <v>23</v>
      </c>
      <c r="E112" s="29" t="s">
        <v>277</v>
      </c>
      <c r="F112" s="29" t="s">
        <v>278</v>
      </c>
      <c r="G112" s="30"/>
      <c r="H112" s="30"/>
      <c r="I112" s="30"/>
      <c r="J112" s="31">
        <f>SUM(J113:J114)</f>
        <v>0</v>
      </c>
      <c r="K112" s="31">
        <f>SUM(K113:K114)</f>
        <v>-7517.4400000000005</v>
      </c>
      <c r="L112" s="32">
        <f>SUM(L113:L114)</f>
        <v>-7517.4400000000005</v>
      </c>
      <c r="M112" s="51" t="s">
        <v>290</v>
      </c>
    </row>
    <row r="113" spans="2:13" ht="31.15" customHeight="1" x14ac:dyDescent="0.25">
      <c r="B113" s="20" t="s">
        <v>67</v>
      </c>
      <c r="C113" s="126" t="s">
        <v>279</v>
      </c>
      <c r="D113" s="126" t="s">
        <v>52</v>
      </c>
      <c r="E113" s="127" t="s">
        <v>280</v>
      </c>
      <c r="F113" s="128" t="s">
        <v>281</v>
      </c>
      <c r="G113" s="129" t="s">
        <v>57</v>
      </c>
      <c r="H113" s="130">
        <v>-56</v>
      </c>
      <c r="I113" s="131">
        <v>105.32</v>
      </c>
      <c r="J113" s="91"/>
      <c r="K113" s="92">
        <f>SUM(L113)</f>
        <v>-5897.92</v>
      </c>
      <c r="L113" s="132">
        <f>SUM(H113*I113)</f>
        <v>-5897.92</v>
      </c>
      <c r="M113" s="21"/>
    </row>
    <row r="114" spans="2:13" ht="31.15" customHeight="1" thickBot="1" x14ac:dyDescent="0.3">
      <c r="B114" s="33"/>
      <c r="C114" s="154" t="s">
        <v>282</v>
      </c>
      <c r="D114" s="154" t="s">
        <v>52</v>
      </c>
      <c r="E114" s="155" t="s">
        <v>283</v>
      </c>
      <c r="F114" s="156" t="s">
        <v>284</v>
      </c>
      <c r="G114" s="157" t="s">
        <v>57</v>
      </c>
      <c r="H114" s="158">
        <v>-56</v>
      </c>
      <c r="I114" s="159">
        <v>28.92</v>
      </c>
      <c r="J114" s="123"/>
      <c r="K114" s="124">
        <f>SUM(L114)</f>
        <v>-1619.52</v>
      </c>
      <c r="L114" s="125">
        <f>SUM(H114*I114)</f>
        <v>-1619.52</v>
      </c>
      <c r="M114" s="51" t="s">
        <v>296</v>
      </c>
    </row>
    <row r="115" spans="2:13" ht="31.15" customHeight="1" thickBot="1" x14ac:dyDescent="0.3">
      <c r="B115" s="33"/>
      <c r="C115" s="27"/>
      <c r="D115" s="28" t="s">
        <v>23</v>
      </c>
      <c r="E115" s="29" t="s">
        <v>285</v>
      </c>
      <c r="F115" s="29" t="s">
        <v>286</v>
      </c>
      <c r="G115" s="30"/>
      <c r="H115" s="30"/>
      <c r="I115" s="30"/>
      <c r="J115" s="31">
        <f>SUM(J116)</f>
        <v>-15524.34</v>
      </c>
      <c r="K115" s="31">
        <f>SUM(K116)</f>
        <v>0</v>
      </c>
      <c r="L115" s="32">
        <f>SUM(L116)</f>
        <v>-15524.34</v>
      </c>
      <c r="M115" s="51" t="s">
        <v>296</v>
      </c>
    </row>
    <row r="116" spans="2:13" ht="31.15" customHeight="1" thickBot="1" x14ac:dyDescent="0.3">
      <c r="B116" s="33"/>
      <c r="C116" s="199" t="s">
        <v>287</v>
      </c>
      <c r="D116" s="200" t="s">
        <v>52</v>
      </c>
      <c r="E116" s="201" t="s">
        <v>288</v>
      </c>
      <c r="F116" s="202" t="s">
        <v>289</v>
      </c>
      <c r="G116" s="203" t="s">
        <v>174</v>
      </c>
      <c r="H116" s="204">
        <v>-78</v>
      </c>
      <c r="I116" s="205">
        <v>199.03</v>
      </c>
      <c r="J116" s="198">
        <f t="shared" ref="J116" si="16">ROUND(I116*H116,2)</f>
        <v>-15524.34</v>
      </c>
      <c r="K116" s="152"/>
      <c r="L116" s="153">
        <f>SUM(H116*I116)</f>
        <v>-15524.34</v>
      </c>
      <c r="M116" s="51" t="s">
        <v>296</v>
      </c>
    </row>
    <row r="117" spans="2:13" ht="31.15" customHeight="1" thickBot="1" x14ac:dyDescent="0.3">
      <c r="B117" s="33"/>
      <c r="C117" s="27"/>
      <c r="D117" s="28" t="s">
        <v>23</v>
      </c>
      <c r="E117" s="29" t="s">
        <v>291</v>
      </c>
      <c r="F117" s="29" t="s">
        <v>292</v>
      </c>
      <c r="G117" s="30"/>
      <c r="H117" s="30"/>
      <c r="I117" s="30"/>
      <c r="J117" s="31">
        <f>SUM(J118:J121)</f>
        <v>4825.5999999999995</v>
      </c>
      <c r="K117" s="31">
        <f>SUM(K118:K121)</f>
        <v>-6336.105599999999</v>
      </c>
      <c r="L117" s="32">
        <f>SUM(L118:L121)</f>
        <v>-1510.5056</v>
      </c>
      <c r="M117" s="51" t="s">
        <v>296</v>
      </c>
    </row>
    <row r="118" spans="2:13" ht="31.15" customHeight="1" x14ac:dyDescent="0.25">
      <c r="B118" s="20" t="s">
        <v>67</v>
      </c>
      <c r="C118" s="206" t="s">
        <v>293</v>
      </c>
      <c r="D118" s="206" t="s">
        <v>52</v>
      </c>
      <c r="E118" s="207" t="s">
        <v>294</v>
      </c>
      <c r="F118" s="208" t="s">
        <v>295</v>
      </c>
      <c r="G118" s="209" t="s">
        <v>57</v>
      </c>
      <c r="H118" s="210">
        <v>-9.2799999999999994</v>
      </c>
      <c r="I118" s="211">
        <v>483.74</v>
      </c>
      <c r="J118" s="91"/>
      <c r="K118" s="92">
        <f>SUM(L118)</f>
        <v>-4489.1071999999995</v>
      </c>
      <c r="L118" s="132">
        <f>SUM(H118*I118)</f>
        <v>-4489.1071999999995</v>
      </c>
      <c r="M118" s="21"/>
    </row>
    <row r="119" spans="2:13" ht="31.15" customHeight="1" x14ac:dyDescent="0.25">
      <c r="B119" s="20"/>
      <c r="C119" s="133" t="s">
        <v>297</v>
      </c>
      <c r="D119" s="133"/>
      <c r="E119" s="134"/>
      <c r="F119" s="135" t="s">
        <v>298</v>
      </c>
      <c r="G119" s="136" t="s">
        <v>57</v>
      </c>
      <c r="H119" s="137">
        <v>9.2799999999999994</v>
      </c>
      <c r="I119" s="138">
        <v>400</v>
      </c>
      <c r="J119" s="74">
        <f>SUM(L119)</f>
        <v>3711.9999999999995</v>
      </c>
      <c r="K119" s="109"/>
      <c r="L119" s="101">
        <f>SUM(H119*I119)</f>
        <v>3711.9999999999995</v>
      </c>
      <c r="M119" s="51" t="s">
        <v>308</v>
      </c>
    </row>
    <row r="120" spans="2:13" ht="31.15" customHeight="1" x14ac:dyDescent="0.25">
      <c r="B120" s="20"/>
      <c r="C120" s="133" t="s">
        <v>299</v>
      </c>
      <c r="D120" s="133" t="s">
        <v>52</v>
      </c>
      <c r="E120" s="134" t="s">
        <v>300</v>
      </c>
      <c r="F120" s="135" t="s">
        <v>301</v>
      </c>
      <c r="G120" s="136" t="s">
        <v>57</v>
      </c>
      <c r="H120" s="137">
        <v>-9.2799999999999994</v>
      </c>
      <c r="I120" s="138">
        <v>199.03</v>
      </c>
      <c r="J120" s="108"/>
      <c r="K120" s="109">
        <f>SUM(L120)</f>
        <v>-1846.9983999999999</v>
      </c>
      <c r="L120" s="101">
        <f>SUM(H120*I120)</f>
        <v>-1846.9983999999999</v>
      </c>
      <c r="M120" s="51" t="s">
        <v>308</v>
      </c>
    </row>
    <row r="121" spans="2:13" ht="31.15" customHeight="1" thickBot="1" x14ac:dyDescent="0.3">
      <c r="B121" s="33"/>
      <c r="C121" s="139" t="s">
        <v>302</v>
      </c>
      <c r="D121" s="139"/>
      <c r="E121" s="140"/>
      <c r="F121" s="141" t="s">
        <v>303</v>
      </c>
      <c r="G121" s="142" t="s">
        <v>57</v>
      </c>
      <c r="H121" s="143">
        <v>9.2799999999999994</v>
      </c>
      <c r="I121" s="144">
        <v>120</v>
      </c>
      <c r="J121" s="75">
        <f>SUM(L121)</f>
        <v>1113.5999999999999</v>
      </c>
      <c r="K121" s="124"/>
      <c r="L121" s="125">
        <f>SUM(H121*I121)</f>
        <v>1113.5999999999999</v>
      </c>
      <c r="M121" s="51" t="s">
        <v>313</v>
      </c>
    </row>
    <row r="122" spans="2:13" ht="31.15" customHeight="1" thickBot="1" x14ac:dyDescent="0.3">
      <c r="B122" s="33"/>
      <c r="C122" s="27"/>
      <c r="D122" s="28" t="s">
        <v>23</v>
      </c>
      <c r="E122" s="29" t="s">
        <v>304</v>
      </c>
      <c r="F122" s="29" t="s">
        <v>305</v>
      </c>
      <c r="G122" s="30"/>
      <c r="H122" s="30"/>
      <c r="I122" s="30"/>
      <c r="J122" s="31">
        <f>SUM(J125:J128)</f>
        <v>62654.76</v>
      </c>
      <c r="K122" s="31">
        <f>SUM(K123:K128)</f>
        <v>-24816.552</v>
      </c>
      <c r="L122" s="32">
        <f>SUM(L123:L128)</f>
        <v>37838.207999999999</v>
      </c>
      <c r="M122" s="51" t="s">
        <v>308</v>
      </c>
    </row>
    <row r="123" spans="2:13" ht="31.15" customHeight="1" x14ac:dyDescent="0.25">
      <c r="B123" s="33"/>
      <c r="C123" s="212" t="s">
        <v>306</v>
      </c>
      <c r="D123" s="212"/>
      <c r="E123" s="213"/>
      <c r="F123" s="214" t="s">
        <v>307</v>
      </c>
      <c r="G123" s="215" t="s">
        <v>196</v>
      </c>
      <c r="H123" s="216">
        <v>-1</v>
      </c>
      <c r="I123" s="217">
        <v>20170.5</v>
      </c>
      <c r="J123" s="101"/>
      <c r="K123" s="101">
        <v>-20170.5</v>
      </c>
      <c r="L123" s="101">
        <f t="shared" ref="L123:L128" si="17">SUM(H123*I123)</f>
        <v>-20170.5</v>
      </c>
      <c r="M123" s="51" t="s">
        <v>318</v>
      </c>
    </row>
    <row r="124" spans="2:13" ht="31.15" customHeight="1" x14ac:dyDescent="0.25">
      <c r="B124" s="33"/>
      <c r="C124" s="212" t="s">
        <v>309</v>
      </c>
      <c r="D124" s="212"/>
      <c r="E124" s="213"/>
      <c r="F124" s="214" t="s">
        <v>310</v>
      </c>
      <c r="G124" s="215" t="s">
        <v>57</v>
      </c>
      <c r="H124" s="216">
        <v>-10.8</v>
      </c>
      <c r="I124" s="217">
        <v>430.19</v>
      </c>
      <c r="J124" s="101"/>
      <c r="K124" s="101">
        <v>-4646.0520000000006</v>
      </c>
      <c r="L124" s="101">
        <f t="shared" si="17"/>
        <v>-4646.0520000000006</v>
      </c>
      <c r="M124" s="51" t="s">
        <v>308</v>
      </c>
    </row>
    <row r="125" spans="2:13" ht="31.15" customHeight="1" x14ac:dyDescent="0.25">
      <c r="B125" s="20" t="s">
        <v>67</v>
      </c>
      <c r="C125" s="206" t="s">
        <v>311</v>
      </c>
      <c r="D125" s="206"/>
      <c r="E125" s="207"/>
      <c r="F125" s="208" t="s">
        <v>312</v>
      </c>
      <c r="G125" s="209" t="s">
        <v>196</v>
      </c>
      <c r="H125" s="210">
        <v>1</v>
      </c>
      <c r="I125" s="211">
        <v>45000</v>
      </c>
      <c r="J125" s="73">
        <f>SUM(L125)</f>
        <v>45000</v>
      </c>
      <c r="K125" s="92">
        <v>0</v>
      </c>
      <c r="L125" s="132">
        <f t="shared" si="17"/>
        <v>45000</v>
      </c>
      <c r="M125" s="218"/>
    </row>
    <row r="126" spans="2:13" ht="31.15" customHeight="1" x14ac:dyDescent="0.25">
      <c r="B126" s="33"/>
      <c r="C126" s="133" t="s">
        <v>314</v>
      </c>
      <c r="D126" s="133"/>
      <c r="E126" s="134"/>
      <c r="F126" s="135" t="s">
        <v>315</v>
      </c>
      <c r="G126" s="136" t="s">
        <v>196</v>
      </c>
      <c r="H126" s="137">
        <v>1</v>
      </c>
      <c r="I126" s="138">
        <v>9103.5</v>
      </c>
      <c r="J126" s="73">
        <f t="shared" ref="J126:J128" si="18">SUM(L126)</f>
        <v>9103.5</v>
      </c>
      <c r="K126" s="92">
        <v>0</v>
      </c>
      <c r="L126" s="101">
        <f t="shared" si="17"/>
        <v>9103.5</v>
      </c>
      <c r="M126" s="51" t="s">
        <v>326</v>
      </c>
    </row>
    <row r="127" spans="2:13" ht="31.15" customHeight="1" x14ac:dyDescent="0.25">
      <c r="B127" s="33"/>
      <c r="C127" s="133" t="s">
        <v>316</v>
      </c>
      <c r="D127" s="133"/>
      <c r="E127" s="134"/>
      <c r="F127" s="135" t="s">
        <v>317</v>
      </c>
      <c r="G127" s="136" t="s">
        <v>38</v>
      </c>
      <c r="H127" s="137">
        <v>1.08</v>
      </c>
      <c r="I127" s="138">
        <v>6589.5</v>
      </c>
      <c r="J127" s="73">
        <f t="shared" si="18"/>
        <v>7116.6600000000008</v>
      </c>
      <c r="K127" s="92">
        <v>0</v>
      </c>
      <c r="L127" s="101">
        <f t="shared" si="17"/>
        <v>7116.6600000000008</v>
      </c>
      <c r="M127" s="51" t="s">
        <v>326</v>
      </c>
    </row>
    <row r="128" spans="2:13" ht="31.15" customHeight="1" thickBot="1" x14ac:dyDescent="0.3">
      <c r="B128" s="33"/>
      <c r="C128" s="139" t="s">
        <v>319</v>
      </c>
      <c r="D128" s="139"/>
      <c r="E128" s="140"/>
      <c r="F128" s="141" t="s">
        <v>320</v>
      </c>
      <c r="G128" s="142" t="s">
        <v>57</v>
      </c>
      <c r="H128" s="143">
        <v>3.6</v>
      </c>
      <c r="I128" s="144">
        <v>398.5</v>
      </c>
      <c r="J128" s="73">
        <f t="shared" si="18"/>
        <v>1434.6000000000001</v>
      </c>
      <c r="K128" s="152">
        <v>0</v>
      </c>
      <c r="L128" s="125">
        <f t="shared" si="17"/>
        <v>1434.6000000000001</v>
      </c>
      <c r="M128" s="51" t="s">
        <v>326</v>
      </c>
    </row>
    <row r="129" spans="2:13" ht="31.15" customHeight="1" thickBot="1" x14ac:dyDescent="0.3">
      <c r="B129" s="33"/>
      <c r="C129" s="27"/>
      <c r="D129" s="28" t="s">
        <v>23</v>
      </c>
      <c r="E129" s="29" t="s">
        <v>321</v>
      </c>
      <c r="F129" s="29" t="s">
        <v>322</v>
      </c>
      <c r="G129" s="30"/>
      <c r="H129" s="30"/>
      <c r="I129" s="30"/>
      <c r="J129" s="31">
        <f>SUM(J130:J137)</f>
        <v>23283.96</v>
      </c>
      <c r="K129" s="31">
        <f>SUM(K130:K137)</f>
        <v>-27578.786460000007</v>
      </c>
      <c r="L129" s="32">
        <f>SUM(K129+J129)</f>
        <v>-4294.8264600000075</v>
      </c>
      <c r="M129" s="51" t="s">
        <v>336</v>
      </c>
    </row>
    <row r="130" spans="2:13" ht="31.15" customHeight="1" x14ac:dyDescent="0.25">
      <c r="B130" s="33"/>
      <c r="C130" s="126" t="s">
        <v>323</v>
      </c>
      <c r="D130" s="126" t="s">
        <v>52</v>
      </c>
      <c r="E130" s="127" t="s">
        <v>324</v>
      </c>
      <c r="F130" s="128" t="s">
        <v>325</v>
      </c>
      <c r="G130" s="129" t="s">
        <v>57</v>
      </c>
      <c r="H130" s="130">
        <v>-32.630000000000003</v>
      </c>
      <c r="I130" s="131">
        <v>323.98</v>
      </c>
      <c r="J130" s="91"/>
      <c r="K130" s="92">
        <f>SUM(L130)</f>
        <v>-10571.467400000001</v>
      </c>
      <c r="L130" s="132">
        <f>SUM(H130*I130)</f>
        <v>-10571.467400000001</v>
      </c>
      <c r="M130" s="51" t="s">
        <v>336</v>
      </c>
    </row>
    <row r="131" spans="2:13" ht="31.15" customHeight="1" x14ac:dyDescent="0.25">
      <c r="B131" s="33"/>
      <c r="C131" s="110" t="s">
        <v>327</v>
      </c>
      <c r="D131" s="110" t="s">
        <v>52</v>
      </c>
      <c r="E131" s="111" t="s">
        <v>328</v>
      </c>
      <c r="F131" s="112" t="s">
        <v>329</v>
      </c>
      <c r="G131" s="113" t="s">
        <v>57</v>
      </c>
      <c r="H131" s="114">
        <v>-29.664000000000001</v>
      </c>
      <c r="I131" s="115">
        <v>394.49</v>
      </c>
      <c r="J131" s="108"/>
      <c r="K131" s="109">
        <f t="shared" ref="K131:K132" si="19">SUM(L131)</f>
        <v>-11702.151360000002</v>
      </c>
      <c r="L131" s="101">
        <f>SUM(H131*I131)</f>
        <v>-11702.151360000002</v>
      </c>
      <c r="M131" s="51" t="s">
        <v>336</v>
      </c>
    </row>
    <row r="132" spans="2:13" ht="31.15" customHeight="1" x14ac:dyDescent="0.25">
      <c r="B132" s="33"/>
      <c r="C132" s="110" t="s">
        <v>330</v>
      </c>
      <c r="D132" s="110" t="s">
        <v>52</v>
      </c>
      <c r="E132" s="111" t="s">
        <v>331</v>
      </c>
      <c r="F132" s="112" t="s">
        <v>332</v>
      </c>
      <c r="G132" s="113" t="s">
        <v>57</v>
      </c>
      <c r="H132" s="114">
        <v>-29.664000000000001</v>
      </c>
      <c r="I132" s="115">
        <v>178.5</v>
      </c>
      <c r="J132" s="108"/>
      <c r="K132" s="109">
        <f t="shared" si="19"/>
        <v>-5295.0240000000003</v>
      </c>
      <c r="L132" s="101">
        <f>SUM(H132*I132)</f>
        <v>-5295.0240000000003</v>
      </c>
      <c r="M132" s="51" t="s">
        <v>345</v>
      </c>
    </row>
    <row r="133" spans="2:13" ht="31.15" customHeight="1" x14ac:dyDescent="0.25">
      <c r="B133" s="33"/>
      <c r="C133" s="133" t="s">
        <v>333</v>
      </c>
      <c r="D133" s="133"/>
      <c r="E133" s="134" t="s">
        <v>334</v>
      </c>
      <c r="F133" s="135" t="s">
        <v>335</v>
      </c>
      <c r="G133" s="136" t="s">
        <v>57</v>
      </c>
      <c r="H133" s="137">
        <v>4.5599999999999996</v>
      </c>
      <c r="I133" s="138">
        <v>350</v>
      </c>
      <c r="J133" s="74">
        <f>SUM(L133)</f>
        <v>1595.9999999999998</v>
      </c>
      <c r="K133" s="109"/>
      <c r="L133" s="101">
        <f t="shared" ref="L133:L136" si="20">SUM(H133*I133)</f>
        <v>1595.9999999999998</v>
      </c>
      <c r="M133" s="51" t="s">
        <v>326</v>
      </c>
    </row>
    <row r="134" spans="2:13" ht="31.15" customHeight="1" x14ac:dyDescent="0.25">
      <c r="B134" s="20"/>
      <c r="C134" s="133" t="s">
        <v>337</v>
      </c>
      <c r="D134" s="133"/>
      <c r="E134" s="134" t="s">
        <v>334</v>
      </c>
      <c r="F134" s="135" t="s">
        <v>338</v>
      </c>
      <c r="G134" s="136" t="s">
        <v>57</v>
      </c>
      <c r="H134" s="137">
        <v>4.5599999999999996</v>
      </c>
      <c r="I134" s="138">
        <v>578.5</v>
      </c>
      <c r="J134" s="74">
        <f t="shared" ref="J134:J136" si="21">SUM(L134)</f>
        <v>2637.9599999999996</v>
      </c>
      <c r="K134" s="109"/>
      <c r="L134" s="101">
        <f t="shared" si="20"/>
        <v>2637.9599999999996</v>
      </c>
      <c r="M134" s="21"/>
    </row>
    <row r="135" spans="2:13" ht="31.15" customHeight="1" x14ac:dyDescent="0.25">
      <c r="B135" s="33"/>
      <c r="C135" s="133" t="s">
        <v>339</v>
      </c>
      <c r="D135" s="133"/>
      <c r="E135" s="134" t="s">
        <v>340</v>
      </c>
      <c r="F135" s="135" t="s">
        <v>341</v>
      </c>
      <c r="G135" s="136" t="s">
        <v>226</v>
      </c>
      <c r="H135" s="137">
        <v>1</v>
      </c>
      <c r="I135" s="138">
        <v>1050</v>
      </c>
      <c r="J135" s="74">
        <f t="shared" si="21"/>
        <v>1050</v>
      </c>
      <c r="K135" s="109"/>
      <c r="L135" s="101">
        <f t="shared" si="20"/>
        <v>1050</v>
      </c>
      <c r="M135" s="51" t="s">
        <v>353</v>
      </c>
    </row>
    <row r="136" spans="2:13" ht="31.15" customHeight="1" x14ac:dyDescent="0.25">
      <c r="B136" s="33"/>
      <c r="C136" s="133" t="s">
        <v>342</v>
      </c>
      <c r="D136" s="133"/>
      <c r="E136" s="134" t="s">
        <v>343</v>
      </c>
      <c r="F136" s="135" t="s">
        <v>344</v>
      </c>
      <c r="G136" s="136" t="s">
        <v>65</v>
      </c>
      <c r="H136" s="137">
        <v>7.5</v>
      </c>
      <c r="I136" s="138">
        <v>2400</v>
      </c>
      <c r="J136" s="74">
        <f t="shared" si="21"/>
        <v>18000</v>
      </c>
      <c r="K136" s="109"/>
      <c r="L136" s="101">
        <f t="shared" si="20"/>
        <v>18000</v>
      </c>
      <c r="M136" s="51" t="s">
        <v>353</v>
      </c>
    </row>
    <row r="137" spans="2:13" ht="31.15" customHeight="1" thickBot="1" x14ac:dyDescent="0.3">
      <c r="B137" s="20"/>
      <c r="C137" s="154" t="s">
        <v>346</v>
      </c>
      <c r="D137" s="154" t="s">
        <v>52</v>
      </c>
      <c r="E137" s="155" t="s">
        <v>347</v>
      </c>
      <c r="F137" s="156" t="s">
        <v>348</v>
      </c>
      <c r="G137" s="157" t="s">
        <v>349</v>
      </c>
      <c r="H137" s="158">
        <v>-3.37</v>
      </c>
      <c r="I137" s="159">
        <v>3.01</v>
      </c>
      <c r="J137" s="123"/>
      <c r="K137" s="124">
        <f>SUM(L137)</f>
        <v>-10.143699999999999</v>
      </c>
      <c r="L137" s="177">
        <f>SUM(H137*I137)</f>
        <v>-10.143699999999999</v>
      </c>
      <c r="M137" s="21"/>
    </row>
    <row r="138" spans="2:13" ht="31.15" customHeight="1" thickBot="1" x14ac:dyDescent="0.3">
      <c r="B138" s="33" t="s">
        <v>67</v>
      </c>
      <c r="C138" s="27"/>
      <c r="D138" s="28" t="s">
        <v>23</v>
      </c>
      <c r="E138" s="29" t="s">
        <v>68</v>
      </c>
      <c r="F138" s="29" t="s">
        <v>69</v>
      </c>
      <c r="G138" s="30"/>
      <c r="H138" s="30"/>
      <c r="I138" s="30"/>
      <c r="J138" s="31">
        <f>SUM(J139:J140)</f>
        <v>48819.75</v>
      </c>
      <c r="K138" s="31">
        <f>SUM(K139:K140)</f>
        <v>-48819.75</v>
      </c>
      <c r="L138" s="32">
        <f>SUM(L139:L140)</f>
        <v>0</v>
      </c>
      <c r="M138" s="43"/>
    </row>
    <row r="139" spans="2:13" ht="31.15" customHeight="1" x14ac:dyDescent="0.25">
      <c r="B139" s="33"/>
      <c r="C139" s="335" t="s">
        <v>350</v>
      </c>
      <c r="D139" s="206" t="s">
        <v>52</v>
      </c>
      <c r="E139" s="207" t="s">
        <v>351</v>
      </c>
      <c r="F139" s="208" t="s">
        <v>352</v>
      </c>
      <c r="G139" s="209" t="s">
        <v>196</v>
      </c>
      <c r="H139" s="210">
        <v>1</v>
      </c>
      <c r="I139" s="211">
        <v>-48819.75</v>
      </c>
      <c r="J139" s="91"/>
      <c r="K139" s="92">
        <f>SUM(L139)</f>
        <v>-48819.75</v>
      </c>
      <c r="L139" s="132">
        <f>SUM(H139*I139)</f>
        <v>-48819.75</v>
      </c>
      <c r="M139" s="43" t="s">
        <v>362</v>
      </c>
    </row>
    <row r="140" spans="2:13" ht="31.15" customHeight="1" x14ac:dyDescent="0.25">
      <c r="B140" s="33" t="s">
        <v>67</v>
      </c>
      <c r="C140" s="336" t="s">
        <v>354</v>
      </c>
      <c r="D140" s="133"/>
      <c r="E140" s="134"/>
      <c r="F140" s="135" t="s">
        <v>355</v>
      </c>
      <c r="G140" s="136" t="s">
        <v>196</v>
      </c>
      <c r="H140" s="137">
        <v>1</v>
      </c>
      <c r="I140" s="138">
        <v>48819.75</v>
      </c>
      <c r="J140" s="74">
        <f>SUM(L140)</f>
        <v>48819.75</v>
      </c>
      <c r="K140" s="109"/>
      <c r="L140" s="101">
        <f>SUM(H140*I140)</f>
        <v>48819.75</v>
      </c>
      <c r="M140" s="240"/>
    </row>
    <row r="141" spans="2:13" ht="31.15" customHeight="1" thickBot="1" x14ac:dyDescent="0.3">
      <c r="B141" s="33"/>
      <c r="C141" s="219"/>
      <c r="D141" s="220" t="s">
        <v>23</v>
      </c>
      <c r="E141" s="221" t="s">
        <v>356</v>
      </c>
      <c r="F141" s="221" t="s">
        <v>357</v>
      </c>
      <c r="G141" s="219"/>
      <c r="H141" s="219"/>
      <c r="I141" s="219"/>
      <c r="J141" s="222"/>
      <c r="K141" s="222"/>
      <c r="L141" s="222"/>
      <c r="M141" s="43" t="s">
        <v>367</v>
      </c>
    </row>
    <row r="142" spans="2:13" ht="31.15" customHeight="1" thickBot="1" x14ac:dyDescent="0.3">
      <c r="B142" s="33"/>
      <c r="C142" s="27"/>
      <c r="D142" s="28" t="s">
        <v>23</v>
      </c>
      <c r="E142" s="223" t="s">
        <v>358</v>
      </c>
      <c r="F142" s="223" t="s">
        <v>359</v>
      </c>
      <c r="G142" s="30"/>
      <c r="H142" s="30"/>
      <c r="I142" s="30"/>
      <c r="J142" s="224">
        <f>SUM(J143)</f>
        <v>385.57499999999999</v>
      </c>
      <c r="K142" s="225">
        <f>SUM(K143)</f>
        <v>0</v>
      </c>
      <c r="L142" s="32">
        <f>SUM(L143)</f>
        <v>385.57499999999999</v>
      </c>
      <c r="M142" s="43" t="s">
        <v>367</v>
      </c>
    </row>
    <row r="143" spans="2:13" ht="31.15" customHeight="1" thickBot="1" x14ac:dyDescent="0.3">
      <c r="B143" s="33"/>
      <c r="C143" s="226" t="s">
        <v>360</v>
      </c>
      <c r="D143" s="226"/>
      <c r="E143" s="227"/>
      <c r="F143" s="228" t="s">
        <v>361</v>
      </c>
      <c r="G143" s="229" t="s">
        <v>174</v>
      </c>
      <c r="H143" s="230">
        <v>7.5</v>
      </c>
      <c r="I143" s="231">
        <v>51.41</v>
      </c>
      <c r="J143" s="232">
        <f>SUM(L143)</f>
        <v>385.57499999999999</v>
      </c>
      <c r="K143" s="233"/>
      <c r="L143" s="234">
        <f>SUM(H143*I143)</f>
        <v>385.57499999999999</v>
      </c>
      <c r="M143" s="43" t="s">
        <v>367</v>
      </c>
    </row>
    <row r="144" spans="2:13" ht="31.15" customHeight="1" thickBot="1" x14ac:dyDescent="0.3">
      <c r="B144" s="33"/>
      <c r="C144" s="235"/>
      <c r="D144" s="236" t="s">
        <v>23</v>
      </c>
      <c r="E144" s="237" t="s">
        <v>363</v>
      </c>
      <c r="F144" s="237" t="s">
        <v>364</v>
      </c>
      <c r="G144" s="238"/>
      <c r="H144" s="238"/>
      <c r="I144" s="239"/>
      <c r="J144" s="224">
        <f>SUM(J145:J148)</f>
        <v>0</v>
      </c>
      <c r="K144" s="224">
        <f>SUM(K145:K148)</f>
        <v>-65574</v>
      </c>
      <c r="L144" s="32">
        <f>SUM(L145:L148)</f>
        <v>-65574</v>
      </c>
      <c r="M144" s="43" t="s">
        <v>367</v>
      </c>
    </row>
    <row r="145" spans="2:13" ht="31.15" customHeight="1" x14ac:dyDescent="0.25">
      <c r="B145" s="33" t="s">
        <v>67</v>
      </c>
      <c r="C145" s="34" t="s">
        <v>365</v>
      </c>
      <c r="D145" s="34"/>
      <c r="E145" s="35"/>
      <c r="F145" s="36" t="s">
        <v>366</v>
      </c>
      <c r="G145" s="37" t="s">
        <v>57</v>
      </c>
      <c r="H145" s="38">
        <v>300</v>
      </c>
      <c r="I145" s="39">
        <v>-22.49</v>
      </c>
      <c r="J145" s="40"/>
      <c r="K145" s="41">
        <f>SUM(L145)</f>
        <v>-6746.9999999999991</v>
      </c>
      <c r="L145" s="42">
        <f>SUM(H145*I145)</f>
        <v>-6746.9999999999991</v>
      </c>
      <c r="M145" s="240"/>
    </row>
    <row r="146" spans="2:13" ht="31.15" customHeight="1" x14ac:dyDescent="0.25">
      <c r="B146" s="33"/>
      <c r="C146" s="241" t="s">
        <v>368</v>
      </c>
      <c r="D146" s="241"/>
      <c r="E146" s="242"/>
      <c r="F146" s="243" t="s">
        <v>369</v>
      </c>
      <c r="G146" s="244" t="s">
        <v>57</v>
      </c>
      <c r="H146" s="245">
        <v>315</v>
      </c>
      <c r="I146" s="246">
        <v>-55.34</v>
      </c>
      <c r="J146" s="247"/>
      <c r="K146" s="59">
        <f>SUM(L146)</f>
        <v>-17432.100000000002</v>
      </c>
      <c r="L146" s="60">
        <f>SUM(H146*I146)</f>
        <v>-17432.100000000002</v>
      </c>
      <c r="M146" s="43" t="s">
        <v>378</v>
      </c>
    </row>
    <row r="147" spans="2:13" ht="31.15" customHeight="1" x14ac:dyDescent="0.25">
      <c r="B147" s="33"/>
      <c r="C147" s="248" t="s">
        <v>370</v>
      </c>
      <c r="D147" s="248"/>
      <c r="E147" s="249"/>
      <c r="F147" s="250" t="s">
        <v>371</v>
      </c>
      <c r="G147" s="251" t="s">
        <v>174</v>
      </c>
      <c r="H147" s="252">
        <v>150</v>
      </c>
      <c r="I147" s="253">
        <v>-215.99</v>
      </c>
      <c r="J147" s="254"/>
      <c r="K147" s="59">
        <f>SUM(L147)</f>
        <v>-32398.5</v>
      </c>
      <c r="L147" s="60">
        <f>SUM(H147*I147)</f>
        <v>-32398.5</v>
      </c>
      <c r="M147" s="43" t="s">
        <v>382</v>
      </c>
    </row>
    <row r="148" spans="2:13" ht="31.15" customHeight="1" thickBot="1" x14ac:dyDescent="0.3">
      <c r="B148" s="33"/>
      <c r="C148" s="255" t="s">
        <v>372</v>
      </c>
      <c r="D148" s="255"/>
      <c r="E148" s="256"/>
      <c r="F148" s="257" t="s">
        <v>373</v>
      </c>
      <c r="G148" s="258" t="s">
        <v>174</v>
      </c>
      <c r="H148" s="259">
        <v>157.5</v>
      </c>
      <c r="I148" s="260">
        <v>-57.12</v>
      </c>
      <c r="J148" s="261"/>
      <c r="K148" s="83">
        <f>SUM(L148)</f>
        <v>-8996.4</v>
      </c>
      <c r="L148" s="84">
        <f>SUM(H148*I148)</f>
        <v>-8996.4</v>
      </c>
      <c r="M148" s="43" t="s">
        <v>386</v>
      </c>
    </row>
    <row r="149" spans="2:13" ht="31.15" customHeight="1" thickBot="1" x14ac:dyDescent="0.3">
      <c r="B149" s="33"/>
      <c r="C149" s="235"/>
      <c r="D149" s="236" t="s">
        <v>23</v>
      </c>
      <c r="E149" s="237" t="s">
        <v>374</v>
      </c>
      <c r="F149" s="237" t="s">
        <v>375</v>
      </c>
      <c r="G149" s="238"/>
      <c r="H149" s="238"/>
      <c r="I149" s="239"/>
      <c r="J149" s="224">
        <f>SUM(J150:J160)</f>
        <v>211111.43520000001</v>
      </c>
      <c r="K149" s="224">
        <f>SUM(K150:K160)</f>
        <v>-7737.98</v>
      </c>
      <c r="L149" s="32">
        <f>SUM(L150:L160)</f>
        <v>203373.4552</v>
      </c>
      <c r="M149" s="43" t="s">
        <v>386</v>
      </c>
    </row>
    <row r="150" spans="2:13" ht="31.15" customHeight="1" x14ac:dyDescent="0.25">
      <c r="B150" s="33"/>
      <c r="C150" s="44" t="s">
        <v>376</v>
      </c>
      <c r="D150" s="44"/>
      <c r="E150" s="45"/>
      <c r="F150" s="46" t="s">
        <v>377</v>
      </c>
      <c r="G150" s="47" t="s">
        <v>57</v>
      </c>
      <c r="H150" s="48">
        <v>39.840000000000003</v>
      </c>
      <c r="I150" s="49">
        <v>131.19999999999999</v>
      </c>
      <c r="J150" s="50">
        <f>SUM(L150)</f>
        <v>5227.0079999999998</v>
      </c>
      <c r="K150" s="262"/>
      <c r="L150" s="42">
        <f t="shared" ref="L150:L159" si="22">SUM(H150*I150)</f>
        <v>5227.0079999999998</v>
      </c>
      <c r="M150" s="43" t="s">
        <v>386</v>
      </c>
    </row>
    <row r="151" spans="2:13" ht="31.15" customHeight="1" x14ac:dyDescent="0.25">
      <c r="B151" s="33"/>
      <c r="C151" s="52" t="s">
        <v>379</v>
      </c>
      <c r="D151" s="52"/>
      <c r="E151" s="53" t="s">
        <v>380</v>
      </c>
      <c r="F151" s="54" t="s">
        <v>381</v>
      </c>
      <c r="G151" s="55" t="s">
        <v>47</v>
      </c>
      <c r="H151" s="56">
        <f>SUM(8*25)</f>
        <v>200</v>
      </c>
      <c r="I151" s="57">
        <v>598.5</v>
      </c>
      <c r="J151" s="58">
        <f t="shared" ref="J151:J157" si="23">SUM(L151)</f>
        <v>119700</v>
      </c>
      <c r="K151" s="263"/>
      <c r="L151" s="60">
        <f t="shared" si="22"/>
        <v>119700</v>
      </c>
      <c r="M151" s="43" t="s">
        <v>386</v>
      </c>
    </row>
    <row r="152" spans="2:13" ht="31.15" customHeight="1" x14ac:dyDescent="0.25">
      <c r="B152" s="33"/>
      <c r="C152" s="52" t="s">
        <v>383</v>
      </c>
      <c r="D152" s="52"/>
      <c r="E152" s="53" t="s">
        <v>384</v>
      </c>
      <c r="F152" s="54" t="s">
        <v>385</v>
      </c>
      <c r="G152" s="55" t="s">
        <v>38</v>
      </c>
      <c r="H152" s="56">
        <v>9.4</v>
      </c>
      <c r="I152" s="57">
        <v>2785.9</v>
      </c>
      <c r="J152" s="58">
        <f t="shared" si="23"/>
        <v>26187.460000000003</v>
      </c>
      <c r="K152" s="263"/>
      <c r="L152" s="60">
        <f t="shared" si="22"/>
        <v>26187.460000000003</v>
      </c>
      <c r="M152" s="43" t="s">
        <v>386</v>
      </c>
    </row>
    <row r="153" spans="2:13" ht="31.15" customHeight="1" x14ac:dyDescent="0.25">
      <c r="B153" s="33"/>
      <c r="C153" s="52" t="s">
        <v>387</v>
      </c>
      <c r="D153" s="52"/>
      <c r="E153" s="53"/>
      <c r="F153" s="54" t="s">
        <v>388</v>
      </c>
      <c r="G153" s="55" t="s">
        <v>57</v>
      </c>
      <c r="H153" s="56">
        <v>52</v>
      </c>
      <c r="I153" s="57">
        <v>245.5</v>
      </c>
      <c r="J153" s="58">
        <f t="shared" si="23"/>
        <v>12766</v>
      </c>
      <c r="K153" s="263"/>
      <c r="L153" s="60">
        <f t="shared" si="22"/>
        <v>12766</v>
      </c>
      <c r="M153" s="43" t="s">
        <v>386</v>
      </c>
    </row>
    <row r="154" spans="2:13" ht="31.15" customHeight="1" x14ac:dyDescent="0.25">
      <c r="B154" s="33"/>
      <c r="C154" s="52" t="s">
        <v>389</v>
      </c>
      <c r="D154" s="52"/>
      <c r="E154" s="53"/>
      <c r="F154" s="54" t="s">
        <v>390</v>
      </c>
      <c r="G154" s="55" t="s">
        <v>57</v>
      </c>
      <c r="H154" s="56">
        <f>SUM(23.5+2+3.5)*0.15</f>
        <v>4.3499999999999996</v>
      </c>
      <c r="I154" s="57">
        <v>475.5</v>
      </c>
      <c r="J154" s="58">
        <f t="shared" si="23"/>
        <v>2068.4249999999997</v>
      </c>
      <c r="K154" s="263"/>
      <c r="L154" s="60">
        <f t="shared" si="22"/>
        <v>2068.4249999999997</v>
      </c>
      <c r="M154" s="43" t="s">
        <v>386</v>
      </c>
    </row>
    <row r="155" spans="2:13" ht="31.15" customHeight="1" x14ac:dyDescent="0.25">
      <c r="B155" s="33"/>
      <c r="C155" s="52" t="s">
        <v>391</v>
      </c>
      <c r="D155" s="52"/>
      <c r="E155" s="53"/>
      <c r="F155" s="54" t="s">
        <v>392</v>
      </c>
      <c r="G155" s="55" t="s">
        <v>57</v>
      </c>
      <c r="H155" s="56">
        <v>4.3499999999999996</v>
      </c>
      <c r="I155" s="57">
        <v>125.4</v>
      </c>
      <c r="J155" s="58">
        <f t="shared" si="23"/>
        <v>545.49</v>
      </c>
      <c r="K155" s="263"/>
      <c r="L155" s="60">
        <f t="shared" si="22"/>
        <v>545.49</v>
      </c>
      <c r="M155" s="43" t="s">
        <v>386</v>
      </c>
    </row>
    <row r="156" spans="2:13" ht="31.15" customHeight="1" x14ac:dyDescent="0.25">
      <c r="B156" s="33"/>
      <c r="C156" s="52" t="s">
        <v>393</v>
      </c>
      <c r="D156" s="52"/>
      <c r="E156" s="53"/>
      <c r="F156" s="54" t="s">
        <v>394</v>
      </c>
      <c r="G156" s="55" t="s">
        <v>57</v>
      </c>
      <c r="H156" s="56">
        <v>7.5</v>
      </c>
      <c r="I156" s="57">
        <v>1698.8</v>
      </c>
      <c r="J156" s="58">
        <f t="shared" si="23"/>
        <v>12741</v>
      </c>
      <c r="K156" s="263"/>
      <c r="L156" s="60">
        <f t="shared" si="22"/>
        <v>12741</v>
      </c>
      <c r="M156" s="43" t="s">
        <v>386</v>
      </c>
    </row>
    <row r="157" spans="2:13" ht="31.15" customHeight="1" x14ac:dyDescent="0.25">
      <c r="B157" s="33" t="s">
        <v>67</v>
      </c>
      <c r="C157" s="52" t="s">
        <v>55</v>
      </c>
      <c r="D157" s="52"/>
      <c r="E157" s="53"/>
      <c r="F157" s="54" t="s">
        <v>395</v>
      </c>
      <c r="G157" s="55" t="s">
        <v>57</v>
      </c>
      <c r="H157" s="56">
        <v>39.840000000000003</v>
      </c>
      <c r="I157" s="57">
        <v>218.66</v>
      </c>
      <c r="J157" s="58">
        <f t="shared" si="23"/>
        <v>8711.4144000000015</v>
      </c>
      <c r="K157" s="263"/>
      <c r="L157" s="60">
        <f t="shared" si="22"/>
        <v>8711.4144000000015</v>
      </c>
      <c r="M157" s="240"/>
    </row>
    <row r="158" spans="2:13" ht="31.15" customHeight="1" x14ac:dyDescent="0.25">
      <c r="B158" s="33"/>
      <c r="C158" s="52" t="s">
        <v>84</v>
      </c>
      <c r="D158" s="52"/>
      <c r="E158" s="53"/>
      <c r="F158" s="54" t="s">
        <v>396</v>
      </c>
      <c r="G158" s="55" t="s">
        <v>57</v>
      </c>
      <c r="H158" s="56">
        <f>SUM(33.2*2.4)/2</f>
        <v>39.840000000000003</v>
      </c>
      <c r="I158" s="57">
        <v>241.87</v>
      </c>
      <c r="J158" s="58">
        <f t="shared" ref="J158:J159" si="24">SUM(L158)</f>
        <v>9636.1008000000002</v>
      </c>
      <c r="K158" s="263"/>
      <c r="L158" s="60">
        <f t="shared" si="22"/>
        <v>9636.1008000000002</v>
      </c>
      <c r="M158" s="43" t="s">
        <v>405</v>
      </c>
    </row>
    <row r="159" spans="2:13" ht="31.15" customHeight="1" x14ac:dyDescent="0.25">
      <c r="B159" s="33"/>
      <c r="C159" s="264" t="s">
        <v>397</v>
      </c>
      <c r="D159" s="264"/>
      <c r="E159" s="265"/>
      <c r="F159" s="266" t="s">
        <v>398</v>
      </c>
      <c r="G159" s="267" t="s">
        <v>57</v>
      </c>
      <c r="H159" s="268">
        <v>40.1</v>
      </c>
      <c r="I159" s="269">
        <v>337.37</v>
      </c>
      <c r="J159" s="58">
        <f t="shared" si="24"/>
        <v>13528.537</v>
      </c>
      <c r="K159" s="263"/>
      <c r="L159" s="60">
        <f t="shared" si="22"/>
        <v>13528.537</v>
      </c>
      <c r="M159" s="43" t="s">
        <v>405</v>
      </c>
    </row>
    <row r="160" spans="2:13" ht="31.15" customHeight="1" thickBot="1" x14ac:dyDescent="0.3">
      <c r="B160" s="33"/>
      <c r="C160" s="270" t="s">
        <v>399</v>
      </c>
      <c r="D160" s="270"/>
      <c r="E160" s="271"/>
      <c r="F160" s="272" t="s">
        <v>400</v>
      </c>
      <c r="G160" s="273" t="s">
        <v>196</v>
      </c>
      <c r="H160" s="274">
        <v>1</v>
      </c>
      <c r="I160" s="275">
        <v>-7737.98</v>
      </c>
      <c r="J160" s="276"/>
      <c r="K160" s="59">
        <f>SUM(L160)</f>
        <v>-7737.98</v>
      </c>
      <c r="L160" s="84">
        <f>SUM(H160*I160)</f>
        <v>-7737.98</v>
      </c>
      <c r="M160" s="43" t="s">
        <v>405</v>
      </c>
    </row>
    <row r="161" spans="2:13" ht="31.15" customHeight="1" thickBot="1" x14ac:dyDescent="0.3">
      <c r="B161" s="33"/>
      <c r="C161" s="235"/>
      <c r="D161" s="236" t="s">
        <v>23</v>
      </c>
      <c r="E161" s="237" t="s">
        <v>401</v>
      </c>
      <c r="F161" s="237" t="s">
        <v>402</v>
      </c>
      <c r="G161" s="238"/>
      <c r="H161" s="238"/>
      <c r="I161" s="239"/>
      <c r="J161" s="224">
        <f>SUM(J162:J175)</f>
        <v>203449.38999999998</v>
      </c>
      <c r="K161" s="224">
        <f>SUM(K162:K175)</f>
        <v>-78906.48000000001</v>
      </c>
      <c r="L161" s="32">
        <f>SUM(L162:L175)</f>
        <v>124542.91</v>
      </c>
      <c r="M161" s="43" t="s">
        <v>405</v>
      </c>
    </row>
    <row r="162" spans="2:13" ht="31.15" customHeight="1" x14ac:dyDescent="0.25">
      <c r="B162" s="33"/>
      <c r="C162" s="44" t="s">
        <v>403</v>
      </c>
      <c r="D162" s="44"/>
      <c r="E162" s="45"/>
      <c r="F162" s="46" t="s">
        <v>404</v>
      </c>
      <c r="G162" s="47" t="s">
        <v>174</v>
      </c>
      <c r="H162" s="48">
        <v>28</v>
      </c>
      <c r="I162" s="49">
        <v>107.34</v>
      </c>
      <c r="J162" s="50">
        <f>SUM(L162)</f>
        <v>3005.52</v>
      </c>
      <c r="K162" s="262"/>
      <c r="L162" s="42">
        <f t="shared" ref="L162:L170" si="25">SUM(H162*I162)</f>
        <v>3005.52</v>
      </c>
      <c r="M162" s="43" t="s">
        <v>405</v>
      </c>
    </row>
    <row r="163" spans="2:13" ht="31.15" customHeight="1" x14ac:dyDescent="0.25">
      <c r="B163" s="33"/>
      <c r="C163" s="264" t="s">
        <v>406</v>
      </c>
      <c r="D163" s="264"/>
      <c r="E163" s="265"/>
      <c r="F163" s="266" t="s">
        <v>407</v>
      </c>
      <c r="G163" s="267" t="s">
        <v>196</v>
      </c>
      <c r="H163" s="268">
        <v>56</v>
      </c>
      <c r="I163" s="269">
        <v>89.27</v>
      </c>
      <c r="J163" s="58">
        <f>SUM(L163)</f>
        <v>4999.12</v>
      </c>
      <c r="K163" s="263"/>
      <c r="L163" s="60">
        <f t="shared" si="25"/>
        <v>4999.12</v>
      </c>
      <c r="M163" s="43" t="s">
        <v>405</v>
      </c>
    </row>
    <row r="164" spans="2:13" ht="31.15" customHeight="1" x14ac:dyDescent="0.25">
      <c r="B164" s="33"/>
      <c r="C164" s="248" t="s">
        <v>408</v>
      </c>
      <c r="D164" s="248" t="s">
        <v>52</v>
      </c>
      <c r="E164" s="249" t="s">
        <v>409</v>
      </c>
      <c r="F164" s="250" t="s">
        <v>410</v>
      </c>
      <c r="G164" s="251" t="s">
        <v>174</v>
      </c>
      <c r="H164" s="252">
        <v>-46</v>
      </c>
      <c r="I164" s="253">
        <v>255.06</v>
      </c>
      <c r="J164" s="254"/>
      <c r="K164" s="59">
        <f>SUM(L164)</f>
        <v>-11732.76</v>
      </c>
      <c r="L164" s="60">
        <f t="shared" si="25"/>
        <v>-11732.76</v>
      </c>
      <c r="M164" s="43" t="s">
        <v>405</v>
      </c>
    </row>
    <row r="165" spans="2:13" ht="31.15" customHeight="1" x14ac:dyDescent="0.25">
      <c r="B165" s="33"/>
      <c r="C165" s="241" t="s">
        <v>411</v>
      </c>
      <c r="D165" s="241" t="s">
        <v>412</v>
      </c>
      <c r="E165" s="242" t="s">
        <v>413</v>
      </c>
      <c r="F165" s="243" t="s">
        <v>414</v>
      </c>
      <c r="G165" s="244" t="s">
        <v>196</v>
      </c>
      <c r="H165" s="245">
        <v>-48</v>
      </c>
      <c r="I165" s="246">
        <v>204.05</v>
      </c>
      <c r="J165" s="247"/>
      <c r="K165" s="59">
        <f>SUM(L165)</f>
        <v>-9794.4000000000015</v>
      </c>
      <c r="L165" s="60">
        <f t="shared" si="25"/>
        <v>-9794.4000000000015</v>
      </c>
      <c r="M165" s="43" t="s">
        <v>405</v>
      </c>
    </row>
    <row r="166" spans="2:13" ht="31.15" customHeight="1" x14ac:dyDescent="0.25">
      <c r="B166" s="33"/>
      <c r="C166" s="264" t="s">
        <v>415</v>
      </c>
      <c r="D166" s="264" t="s">
        <v>52</v>
      </c>
      <c r="E166" s="265"/>
      <c r="F166" s="54" t="s">
        <v>416</v>
      </c>
      <c r="G166" s="267" t="s">
        <v>174</v>
      </c>
      <c r="H166" s="268">
        <v>46</v>
      </c>
      <c r="I166" s="269">
        <v>255.06</v>
      </c>
      <c r="J166" s="277">
        <f>SUM(L166)</f>
        <v>11732.76</v>
      </c>
      <c r="K166" s="263"/>
      <c r="L166" s="60">
        <f t="shared" si="25"/>
        <v>11732.76</v>
      </c>
      <c r="M166" s="43" t="s">
        <v>405</v>
      </c>
    </row>
    <row r="167" spans="2:13" ht="31.15" customHeight="1" x14ac:dyDescent="0.25">
      <c r="B167" s="33"/>
      <c r="C167" s="264" t="s">
        <v>417</v>
      </c>
      <c r="D167" s="264" t="s">
        <v>412</v>
      </c>
      <c r="E167" s="265"/>
      <c r="F167" s="266" t="s">
        <v>418</v>
      </c>
      <c r="G167" s="267" t="s">
        <v>196</v>
      </c>
      <c r="H167" s="268">
        <v>11.5</v>
      </c>
      <c r="I167" s="269">
        <v>9875</v>
      </c>
      <c r="J167" s="277">
        <f t="shared" ref="J167:J170" si="26">SUM(L167)</f>
        <v>113562.5</v>
      </c>
      <c r="K167" s="263"/>
      <c r="L167" s="60">
        <f t="shared" si="25"/>
        <v>113562.5</v>
      </c>
      <c r="M167" s="43" t="s">
        <v>405</v>
      </c>
    </row>
    <row r="168" spans="2:13" ht="31.15" customHeight="1" x14ac:dyDescent="0.25">
      <c r="B168" s="33"/>
      <c r="C168" s="264" t="s">
        <v>419</v>
      </c>
      <c r="D168" s="264" t="s">
        <v>412</v>
      </c>
      <c r="E168" s="265"/>
      <c r="F168" s="266" t="s">
        <v>420</v>
      </c>
      <c r="G168" s="267" t="s">
        <v>196</v>
      </c>
      <c r="H168" s="268">
        <v>4</v>
      </c>
      <c r="I168" s="269">
        <v>2457</v>
      </c>
      <c r="J168" s="277">
        <f t="shared" si="26"/>
        <v>9828</v>
      </c>
      <c r="K168" s="263"/>
      <c r="L168" s="60">
        <f t="shared" si="25"/>
        <v>9828</v>
      </c>
      <c r="M168" s="43" t="s">
        <v>405</v>
      </c>
    </row>
    <row r="169" spans="2:13" ht="31.15" customHeight="1" x14ac:dyDescent="0.25">
      <c r="B169" s="33"/>
      <c r="C169" s="264" t="s">
        <v>421</v>
      </c>
      <c r="D169" s="264" t="s">
        <v>412</v>
      </c>
      <c r="E169" s="265"/>
      <c r="F169" s="266" t="s">
        <v>422</v>
      </c>
      <c r="G169" s="267" t="s">
        <v>174</v>
      </c>
      <c r="H169" s="268">
        <v>32</v>
      </c>
      <c r="I169" s="269">
        <v>356.8</v>
      </c>
      <c r="J169" s="277">
        <f t="shared" si="26"/>
        <v>11417.6</v>
      </c>
      <c r="K169" s="263"/>
      <c r="L169" s="60">
        <f t="shared" si="25"/>
        <v>11417.6</v>
      </c>
      <c r="M169" s="43" t="s">
        <v>405</v>
      </c>
    </row>
    <row r="170" spans="2:13" ht="31.15" customHeight="1" x14ac:dyDescent="0.25">
      <c r="B170" s="33"/>
      <c r="C170" s="264" t="s">
        <v>423</v>
      </c>
      <c r="D170" s="264" t="s">
        <v>52</v>
      </c>
      <c r="E170" s="265" t="s">
        <v>424</v>
      </c>
      <c r="F170" s="266" t="s">
        <v>425</v>
      </c>
      <c r="G170" s="267" t="s">
        <v>174</v>
      </c>
      <c r="H170" s="268">
        <v>32</v>
      </c>
      <c r="I170" s="269">
        <v>245.2</v>
      </c>
      <c r="J170" s="277">
        <f t="shared" si="26"/>
        <v>7846.4</v>
      </c>
      <c r="K170" s="263"/>
      <c r="L170" s="60">
        <f t="shared" si="25"/>
        <v>7846.4</v>
      </c>
      <c r="M170" s="43" t="s">
        <v>405</v>
      </c>
    </row>
    <row r="171" spans="2:13" ht="31.15" customHeight="1" x14ac:dyDescent="0.25">
      <c r="B171" s="33"/>
      <c r="C171" s="248" t="s">
        <v>124</v>
      </c>
      <c r="D171" s="248"/>
      <c r="E171" s="249"/>
      <c r="F171" s="250" t="s">
        <v>426</v>
      </c>
      <c r="G171" s="251" t="s">
        <v>174</v>
      </c>
      <c r="H171" s="252">
        <v>44</v>
      </c>
      <c r="I171" s="253">
        <v>-427.23</v>
      </c>
      <c r="J171" s="254"/>
      <c r="K171" s="59">
        <f>SUM(L171)</f>
        <v>-18798.120000000003</v>
      </c>
      <c r="L171" s="60">
        <f>SUM(H171*I171)</f>
        <v>-18798.120000000003</v>
      </c>
      <c r="M171" s="43" t="s">
        <v>405</v>
      </c>
    </row>
    <row r="172" spans="2:13" ht="31.15" customHeight="1" x14ac:dyDescent="0.25">
      <c r="B172" s="33" t="s">
        <v>67</v>
      </c>
      <c r="C172" s="241" t="s">
        <v>128</v>
      </c>
      <c r="D172" s="241"/>
      <c r="E172" s="242" t="s">
        <v>427</v>
      </c>
      <c r="F172" s="243" t="s">
        <v>428</v>
      </c>
      <c r="G172" s="244" t="s">
        <v>196</v>
      </c>
      <c r="H172" s="245">
        <v>180</v>
      </c>
      <c r="I172" s="246">
        <v>-214.34</v>
      </c>
      <c r="J172" s="247"/>
      <c r="K172" s="59">
        <f>SUM(L172)</f>
        <v>-38581.199999999997</v>
      </c>
      <c r="L172" s="60">
        <f>SUM(H172*I172)</f>
        <v>-38581.199999999997</v>
      </c>
      <c r="M172" s="43"/>
    </row>
    <row r="173" spans="2:13" ht="31.15" customHeight="1" x14ac:dyDescent="0.25">
      <c r="B173" s="33"/>
      <c r="C173" s="52" t="s">
        <v>134</v>
      </c>
      <c r="D173" s="52"/>
      <c r="E173" s="53"/>
      <c r="F173" s="278" t="s">
        <v>429</v>
      </c>
      <c r="G173" s="55" t="s">
        <v>65</v>
      </c>
      <c r="H173" s="56">
        <v>16.5</v>
      </c>
      <c r="I173" s="57">
        <v>255.06</v>
      </c>
      <c r="J173" s="58">
        <f>SUM(L173)</f>
        <v>4208.49</v>
      </c>
      <c r="K173" s="263"/>
      <c r="L173" s="60">
        <f>SUM(H173*I173)</f>
        <v>4208.49</v>
      </c>
      <c r="M173" s="43" t="s">
        <v>405</v>
      </c>
    </row>
    <row r="174" spans="2:13" ht="31.15" customHeight="1" x14ac:dyDescent="0.25">
      <c r="B174" s="20"/>
      <c r="C174" s="52" t="s">
        <v>430</v>
      </c>
      <c r="D174" s="52" t="s">
        <v>174</v>
      </c>
      <c r="E174" s="53"/>
      <c r="F174" s="266" t="s">
        <v>431</v>
      </c>
      <c r="G174" s="267" t="s">
        <v>196</v>
      </c>
      <c r="H174" s="268">
        <v>4</v>
      </c>
      <c r="I174" s="269">
        <v>8598</v>
      </c>
      <c r="J174" s="58">
        <f t="shared" ref="J174:J175" si="27">SUM(L174)</f>
        <v>34392</v>
      </c>
      <c r="K174" s="263"/>
      <c r="L174" s="60">
        <f>SUM(H174*I174)</f>
        <v>34392</v>
      </c>
      <c r="M174" s="21"/>
    </row>
    <row r="175" spans="2:13" ht="31.15" customHeight="1" thickBot="1" x14ac:dyDescent="0.3">
      <c r="B175" s="33"/>
      <c r="C175" s="279" t="s">
        <v>432</v>
      </c>
      <c r="D175" s="279" t="s">
        <v>174</v>
      </c>
      <c r="E175" s="280"/>
      <c r="F175" s="281" t="s">
        <v>433</v>
      </c>
      <c r="G175" s="282" t="s">
        <v>196</v>
      </c>
      <c r="H175" s="283">
        <v>1</v>
      </c>
      <c r="I175" s="284">
        <v>2457</v>
      </c>
      <c r="J175" s="82">
        <f t="shared" si="27"/>
        <v>2457</v>
      </c>
      <c r="K175" s="285"/>
      <c r="L175" s="84">
        <f>SUM(H175*I175)</f>
        <v>2457</v>
      </c>
      <c r="M175" s="291"/>
    </row>
    <row r="176" spans="2:13" ht="31.15" customHeight="1" thickBot="1" x14ac:dyDescent="0.3">
      <c r="B176" s="33"/>
      <c r="C176" s="235"/>
      <c r="D176" s="236" t="s">
        <v>23</v>
      </c>
      <c r="E176" s="237" t="s">
        <v>434</v>
      </c>
      <c r="F176" s="237" t="s">
        <v>435</v>
      </c>
      <c r="G176" s="238"/>
      <c r="H176" s="238"/>
      <c r="I176" s="239"/>
      <c r="J176" s="224">
        <f>SUM(J177)</f>
        <v>11584</v>
      </c>
      <c r="K176" s="225">
        <f>SUM(K177)</f>
        <v>0</v>
      </c>
      <c r="L176" s="32">
        <f>SUM(L177)</f>
        <v>11584</v>
      </c>
      <c r="M176" s="43" t="s">
        <v>405</v>
      </c>
    </row>
    <row r="177" spans="2:13" ht="31.15" customHeight="1" x14ac:dyDescent="0.25">
      <c r="B177" s="33"/>
      <c r="C177" s="44" t="s">
        <v>145</v>
      </c>
      <c r="D177" s="44" t="s">
        <v>52</v>
      </c>
      <c r="E177" s="45" t="s">
        <v>436</v>
      </c>
      <c r="F177" s="46" t="s">
        <v>437</v>
      </c>
      <c r="G177" s="47" t="s">
        <v>47</v>
      </c>
      <c r="H177" s="48">
        <v>200</v>
      </c>
      <c r="I177" s="49">
        <v>57.92</v>
      </c>
      <c r="J177" s="50">
        <f>SUM(L177)</f>
        <v>11584</v>
      </c>
      <c r="K177" s="262"/>
      <c r="L177" s="42">
        <f>SUM(H177*I177)</f>
        <v>11584</v>
      </c>
      <c r="M177" s="43" t="s">
        <v>405</v>
      </c>
    </row>
    <row r="178" spans="2:13" ht="31.15" customHeight="1" thickBot="1" x14ac:dyDescent="0.3">
      <c r="B178" s="33"/>
      <c r="C178" s="286"/>
      <c r="D178" s="287" t="s">
        <v>23</v>
      </c>
      <c r="E178" s="288" t="s">
        <v>438</v>
      </c>
      <c r="F178" s="288" t="s">
        <v>439</v>
      </c>
      <c r="G178" s="286"/>
      <c r="H178" s="286"/>
      <c r="I178" s="286"/>
      <c r="J178" s="289"/>
      <c r="K178" s="289"/>
      <c r="L178" s="289"/>
      <c r="M178" s="43" t="s">
        <v>405</v>
      </c>
    </row>
    <row r="179" spans="2:13" ht="31.15" customHeight="1" thickBot="1" x14ac:dyDescent="0.3">
      <c r="B179" s="33"/>
      <c r="C179" s="235"/>
      <c r="D179" s="236" t="s">
        <v>23</v>
      </c>
      <c r="E179" s="290" t="s">
        <v>440</v>
      </c>
      <c r="F179" s="290" t="s">
        <v>441</v>
      </c>
      <c r="G179" s="238"/>
      <c r="H179" s="238"/>
      <c r="I179" s="239"/>
      <c r="J179" s="31">
        <f>SUM(J180:J198)</f>
        <v>30990</v>
      </c>
      <c r="K179" s="31">
        <f>SUM(K180:K199)</f>
        <v>-107781.18000000001</v>
      </c>
      <c r="L179" s="32">
        <f>SUM(L180:L199)</f>
        <v>-76791.180000000008</v>
      </c>
      <c r="M179" s="43" t="s">
        <v>405</v>
      </c>
    </row>
    <row r="180" spans="2:13" ht="31.15" customHeight="1" x14ac:dyDescent="0.25">
      <c r="B180" s="33"/>
      <c r="C180" s="292" t="s">
        <v>379</v>
      </c>
      <c r="D180" s="34" t="s">
        <v>52</v>
      </c>
      <c r="E180" s="35" t="s">
        <v>442</v>
      </c>
      <c r="F180" s="36" t="s">
        <v>443</v>
      </c>
      <c r="G180" s="37" t="s">
        <v>174</v>
      </c>
      <c r="H180" s="38">
        <v>-67</v>
      </c>
      <c r="I180" s="39">
        <v>124.06</v>
      </c>
      <c r="J180" s="40"/>
      <c r="K180" s="293">
        <f>SUM(L180)</f>
        <v>-8312.02</v>
      </c>
      <c r="L180" s="294">
        <f t="shared" ref="L180:L198" si="28">SUM(H180*I180)</f>
        <v>-8312.02</v>
      </c>
      <c r="M180" s="43" t="s">
        <v>405</v>
      </c>
    </row>
    <row r="181" spans="2:13" ht="31.15" customHeight="1" x14ac:dyDescent="0.25">
      <c r="B181" s="33"/>
      <c r="C181" s="295" t="s">
        <v>51</v>
      </c>
      <c r="D181" s="241"/>
      <c r="E181" s="242"/>
      <c r="F181" s="243" t="s">
        <v>444</v>
      </c>
      <c r="G181" s="244" t="s">
        <v>196</v>
      </c>
      <c r="H181" s="245">
        <v>-1</v>
      </c>
      <c r="I181" s="246">
        <v>1296.8</v>
      </c>
      <c r="J181" s="247"/>
      <c r="K181" s="296">
        <f>SUM(L181)</f>
        <v>-1296.8</v>
      </c>
      <c r="L181" s="60">
        <f t="shared" si="28"/>
        <v>-1296.8</v>
      </c>
      <c r="M181" s="43" t="s">
        <v>405</v>
      </c>
    </row>
    <row r="182" spans="2:13" ht="31.15" customHeight="1" x14ac:dyDescent="0.25">
      <c r="B182" s="33"/>
      <c r="C182" s="295" t="s">
        <v>365</v>
      </c>
      <c r="D182" s="241"/>
      <c r="E182" s="242"/>
      <c r="F182" s="243" t="s">
        <v>445</v>
      </c>
      <c r="G182" s="244" t="s">
        <v>196</v>
      </c>
      <c r="H182" s="245">
        <v>-10</v>
      </c>
      <c r="I182" s="246">
        <v>1705.57</v>
      </c>
      <c r="J182" s="247"/>
      <c r="K182" s="296">
        <f>SUM(L182)</f>
        <v>-17055.7</v>
      </c>
      <c r="L182" s="60">
        <f t="shared" si="28"/>
        <v>-17055.7</v>
      </c>
      <c r="M182" s="43" t="s">
        <v>405</v>
      </c>
    </row>
    <row r="183" spans="2:13" ht="31.15" customHeight="1" x14ac:dyDescent="0.25">
      <c r="B183" s="33"/>
      <c r="C183" s="295" t="s">
        <v>368</v>
      </c>
      <c r="D183" s="241" t="s">
        <v>412</v>
      </c>
      <c r="E183" s="242" t="s">
        <v>446</v>
      </c>
      <c r="F183" s="243" t="s">
        <v>447</v>
      </c>
      <c r="G183" s="244" t="s">
        <v>196</v>
      </c>
      <c r="H183" s="245">
        <v>-2</v>
      </c>
      <c r="I183" s="246">
        <v>2343.71</v>
      </c>
      <c r="J183" s="247"/>
      <c r="K183" s="296">
        <f t="shared" ref="K183:K184" si="29">SUM(L183)</f>
        <v>-4687.42</v>
      </c>
      <c r="L183" s="60">
        <f t="shared" si="28"/>
        <v>-4687.42</v>
      </c>
      <c r="M183" s="43" t="s">
        <v>405</v>
      </c>
    </row>
    <row r="184" spans="2:13" ht="31.15" customHeight="1" x14ac:dyDescent="0.25">
      <c r="B184" s="33"/>
      <c r="C184" s="295" t="s">
        <v>370</v>
      </c>
      <c r="D184" s="241" t="s">
        <v>412</v>
      </c>
      <c r="E184" s="242" t="s">
        <v>448</v>
      </c>
      <c r="F184" s="243" t="s">
        <v>449</v>
      </c>
      <c r="G184" s="244" t="s">
        <v>196</v>
      </c>
      <c r="H184" s="245">
        <v>-5</v>
      </c>
      <c r="I184" s="246">
        <v>3910.04</v>
      </c>
      <c r="J184" s="247"/>
      <c r="K184" s="296">
        <f t="shared" si="29"/>
        <v>-19550.2</v>
      </c>
      <c r="L184" s="60">
        <f t="shared" si="28"/>
        <v>-19550.2</v>
      </c>
      <c r="M184" s="43" t="s">
        <v>405</v>
      </c>
    </row>
    <row r="185" spans="2:13" ht="31.15" customHeight="1" x14ac:dyDescent="0.25">
      <c r="B185" s="33"/>
      <c r="C185" s="264" t="s">
        <v>376</v>
      </c>
      <c r="D185" s="264" t="s">
        <v>412</v>
      </c>
      <c r="E185" s="265"/>
      <c r="F185" s="266" t="s">
        <v>450</v>
      </c>
      <c r="G185" s="267" t="s">
        <v>196</v>
      </c>
      <c r="H185" s="268">
        <v>12</v>
      </c>
      <c r="I185" s="269">
        <v>1985.5</v>
      </c>
      <c r="J185" s="277">
        <f>SUM(L185)</f>
        <v>23826</v>
      </c>
      <c r="K185" s="184"/>
      <c r="L185" s="60">
        <f t="shared" si="28"/>
        <v>23826</v>
      </c>
      <c r="M185" s="43" t="s">
        <v>405</v>
      </c>
    </row>
    <row r="186" spans="2:13" ht="31.15" customHeight="1" x14ac:dyDescent="0.25">
      <c r="B186" s="33"/>
      <c r="C186" s="264" t="s">
        <v>451</v>
      </c>
      <c r="D186" s="264" t="s">
        <v>52</v>
      </c>
      <c r="E186" s="265"/>
      <c r="F186" s="266" t="s">
        <v>452</v>
      </c>
      <c r="G186" s="267" t="s">
        <v>174</v>
      </c>
      <c r="H186" s="268">
        <v>24</v>
      </c>
      <c r="I186" s="269">
        <v>298.5</v>
      </c>
      <c r="J186" s="277">
        <f>SUM(L186)</f>
        <v>7164</v>
      </c>
      <c r="K186" s="184"/>
      <c r="L186" s="60">
        <f t="shared" si="28"/>
        <v>7164</v>
      </c>
      <c r="M186" s="43" t="s">
        <v>405</v>
      </c>
    </row>
    <row r="187" spans="2:13" ht="31.15" customHeight="1" x14ac:dyDescent="0.25">
      <c r="B187" s="33"/>
      <c r="C187" s="297" t="s">
        <v>453</v>
      </c>
      <c r="D187" s="248" t="s">
        <v>52</v>
      </c>
      <c r="E187" s="249" t="s">
        <v>454</v>
      </c>
      <c r="F187" s="250" t="s">
        <v>455</v>
      </c>
      <c r="G187" s="251" t="s">
        <v>196</v>
      </c>
      <c r="H187" s="252">
        <v>-6</v>
      </c>
      <c r="I187" s="253">
        <v>223.13</v>
      </c>
      <c r="J187" s="254"/>
      <c r="K187" s="296">
        <f>SUM(L187)</f>
        <v>-1338.78</v>
      </c>
      <c r="L187" s="60">
        <f t="shared" si="28"/>
        <v>-1338.78</v>
      </c>
      <c r="M187" s="43" t="s">
        <v>405</v>
      </c>
    </row>
    <row r="188" spans="2:13" ht="31.15" customHeight="1" x14ac:dyDescent="0.25">
      <c r="B188" s="33"/>
      <c r="C188" s="295" t="s">
        <v>55</v>
      </c>
      <c r="D188" s="241" t="s">
        <v>412</v>
      </c>
      <c r="E188" s="242" t="s">
        <v>456</v>
      </c>
      <c r="F188" s="243" t="s">
        <v>457</v>
      </c>
      <c r="G188" s="244" t="s">
        <v>196</v>
      </c>
      <c r="H188" s="245">
        <v>-6</v>
      </c>
      <c r="I188" s="246">
        <v>217.77</v>
      </c>
      <c r="J188" s="247"/>
      <c r="K188" s="296">
        <f t="shared" ref="K188:K191" si="30">SUM(L188)</f>
        <v>-1306.6200000000001</v>
      </c>
      <c r="L188" s="60">
        <f t="shared" si="28"/>
        <v>-1306.6200000000001</v>
      </c>
      <c r="M188" s="43" t="s">
        <v>405</v>
      </c>
    </row>
    <row r="189" spans="2:13" ht="31.15" customHeight="1" x14ac:dyDescent="0.25">
      <c r="B189" s="33"/>
      <c r="C189" s="297" t="s">
        <v>458</v>
      </c>
      <c r="D189" s="248" t="s">
        <v>52</v>
      </c>
      <c r="E189" s="249" t="s">
        <v>459</v>
      </c>
      <c r="F189" s="250" t="s">
        <v>460</v>
      </c>
      <c r="G189" s="251" t="s">
        <v>196</v>
      </c>
      <c r="H189" s="252">
        <v>-7</v>
      </c>
      <c r="I189" s="253">
        <v>223.13</v>
      </c>
      <c r="J189" s="254"/>
      <c r="K189" s="296">
        <f t="shared" si="30"/>
        <v>-1561.9099999999999</v>
      </c>
      <c r="L189" s="60">
        <f t="shared" si="28"/>
        <v>-1561.9099999999999</v>
      </c>
      <c r="M189" s="43" t="s">
        <v>405</v>
      </c>
    </row>
    <row r="190" spans="2:13" ht="31.15" customHeight="1" x14ac:dyDescent="0.25">
      <c r="B190" s="33"/>
      <c r="C190" s="295" t="s">
        <v>461</v>
      </c>
      <c r="D190" s="241" t="s">
        <v>412</v>
      </c>
      <c r="E190" s="242" t="s">
        <v>462</v>
      </c>
      <c r="F190" s="243" t="s">
        <v>463</v>
      </c>
      <c r="G190" s="244" t="s">
        <v>196</v>
      </c>
      <c r="H190" s="245">
        <v>-7</v>
      </c>
      <c r="I190" s="246">
        <v>431.08</v>
      </c>
      <c r="J190" s="247"/>
      <c r="K190" s="296">
        <f t="shared" si="30"/>
        <v>-3017.56</v>
      </c>
      <c r="L190" s="60">
        <f t="shared" si="28"/>
        <v>-3017.56</v>
      </c>
      <c r="M190" s="43" t="s">
        <v>405</v>
      </c>
    </row>
    <row r="191" spans="2:13" ht="31.15" customHeight="1" x14ac:dyDescent="0.25">
      <c r="B191" s="33"/>
      <c r="C191" s="295" t="s">
        <v>464</v>
      </c>
      <c r="D191" s="241" t="s">
        <v>412</v>
      </c>
      <c r="E191" s="242" t="s">
        <v>465</v>
      </c>
      <c r="F191" s="243" t="s">
        <v>466</v>
      </c>
      <c r="G191" s="244" t="s">
        <v>196</v>
      </c>
      <c r="H191" s="245">
        <v>-6</v>
      </c>
      <c r="I191" s="246">
        <v>758.63</v>
      </c>
      <c r="J191" s="247"/>
      <c r="K191" s="296">
        <f t="shared" si="30"/>
        <v>-4551.78</v>
      </c>
      <c r="L191" s="60">
        <f t="shared" si="28"/>
        <v>-4551.78</v>
      </c>
      <c r="M191" s="43" t="s">
        <v>405</v>
      </c>
    </row>
    <row r="192" spans="2:13" ht="31.15" customHeight="1" x14ac:dyDescent="0.25">
      <c r="B192" s="33"/>
      <c r="C192" s="297" t="s">
        <v>84</v>
      </c>
      <c r="D192" s="248" t="s">
        <v>52</v>
      </c>
      <c r="E192" s="249" t="s">
        <v>467</v>
      </c>
      <c r="F192" s="250" t="s">
        <v>468</v>
      </c>
      <c r="G192" s="251" t="s">
        <v>196</v>
      </c>
      <c r="H192" s="252">
        <v>-1</v>
      </c>
      <c r="I192" s="253">
        <v>246.33</v>
      </c>
      <c r="J192" s="254"/>
      <c r="K192" s="298">
        <f>SUM(L192)</f>
        <v>-246.33</v>
      </c>
      <c r="L192" s="60">
        <f t="shared" si="28"/>
        <v>-246.33</v>
      </c>
      <c r="M192" s="43" t="s">
        <v>405</v>
      </c>
    </row>
    <row r="193" spans="2:13" ht="31.15" customHeight="1" x14ac:dyDescent="0.25">
      <c r="B193" s="33"/>
      <c r="C193" s="295" t="s">
        <v>397</v>
      </c>
      <c r="D193" s="241" t="s">
        <v>412</v>
      </c>
      <c r="E193" s="242" t="s">
        <v>469</v>
      </c>
      <c r="F193" s="243" t="s">
        <v>470</v>
      </c>
      <c r="G193" s="244" t="s">
        <v>196</v>
      </c>
      <c r="H193" s="245">
        <v>-1</v>
      </c>
      <c r="I193" s="246">
        <v>449.82</v>
      </c>
      <c r="J193" s="247"/>
      <c r="K193" s="298">
        <f t="shared" ref="K193:K199" si="31">SUM(L193)</f>
        <v>-449.82</v>
      </c>
      <c r="L193" s="60">
        <f t="shared" si="28"/>
        <v>-449.82</v>
      </c>
      <c r="M193" s="43" t="s">
        <v>405</v>
      </c>
    </row>
    <row r="194" spans="2:13" ht="31.15" customHeight="1" x14ac:dyDescent="0.25">
      <c r="B194" s="33"/>
      <c r="C194" s="297" t="s">
        <v>403</v>
      </c>
      <c r="D194" s="248" t="s">
        <v>52</v>
      </c>
      <c r="E194" s="249" t="s">
        <v>471</v>
      </c>
      <c r="F194" s="250" t="s">
        <v>472</v>
      </c>
      <c r="G194" s="251" t="s">
        <v>196</v>
      </c>
      <c r="H194" s="252">
        <v>-2</v>
      </c>
      <c r="I194" s="253">
        <v>9103.5</v>
      </c>
      <c r="J194" s="254"/>
      <c r="K194" s="298">
        <f t="shared" si="31"/>
        <v>-18207</v>
      </c>
      <c r="L194" s="60">
        <f t="shared" si="28"/>
        <v>-18207</v>
      </c>
      <c r="M194" s="43" t="s">
        <v>405</v>
      </c>
    </row>
    <row r="195" spans="2:13" ht="31.15" customHeight="1" x14ac:dyDescent="0.25">
      <c r="B195" s="33"/>
      <c r="C195" s="297" t="s">
        <v>408</v>
      </c>
      <c r="D195" s="248" t="s">
        <v>52</v>
      </c>
      <c r="E195" s="249" t="s">
        <v>473</v>
      </c>
      <c r="F195" s="250" t="s">
        <v>474</v>
      </c>
      <c r="G195" s="251" t="s">
        <v>196</v>
      </c>
      <c r="H195" s="252">
        <v>-2</v>
      </c>
      <c r="I195" s="253">
        <v>815.75</v>
      </c>
      <c r="J195" s="254"/>
      <c r="K195" s="298">
        <f t="shared" si="31"/>
        <v>-1631.5</v>
      </c>
      <c r="L195" s="60">
        <f t="shared" si="28"/>
        <v>-1631.5</v>
      </c>
      <c r="M195" s="43" t="s">
        <v>405</v>
      </c>
    </row>
    <row r="196" spans="2:13" ht="31.15" customHeight="1" x14ac:dyDescent="0.25">
      <c r="B196" s="33"/>
      <c r="C196" s="295" t="s">
        <v>411</v>
      </c>
      <c r="D196" s="241" t="s">
        <v>412</v>
      </c>
      <c r="E196" s="242" t="s">
        <v>475</v>
      </c>
      <c r="F196" s="243" t="s">
        <v>476</v>
      </c>
      <c r="G196" s="244" t="s">
        <v>196</v>
      </c>
      <c r="H196" s="245">
        <v>-2</v>
      </c>
      <c r="I196" s="246">
        <v>7970.03</v>
      </c>
      <c r="J196" s="247"/>
      <c r="K196" s="298">
        <f t="shared" si="31"/>
        <v>-15940.06</v>
      </c>
      <c r="L196" s="60">
        <f t="shared" si="28"/>
        <v>-15940.06</v>
      </c>
      <c r="M196" s="291"/>
    </row>
    <row r="197" spans="2:13" ht="31.15" customHeight="1" x14ac:dyDescent="0.25">
      <c r="B197" s="33"/>
      <c r="C197" s="297" t="s">
        <v>477</v>
      </c>
      <c r="D197" s="248" t="s">
        <v>52</v>
      </c>
      <c r="E197" s="249" t="s">
        <v>478</v>
      </c>
      <c r="F197" s="250" t="s">
        <v>479</v>
      </c>
      <c r="G197" s="251" t="s">
        <v>174</v>
      </c>
      <c r="H197" s="252">
        <v>-68</v>
      </c>
      <c r="I197" s="253">
        <v>42.66</v>
      </c>
      <c r="J197" s="254"/>
      <c r="K197" s="298">
        <f t="shared" si="31"/>
        <v>-2900.8799999999997</v>
      </c>
      <c r="L197" s="60">
        <f t="shared" si="28"/>
        <v>-2900.8799999999997</v>
      </c>
      <c r="M197" s="43" t="s">
        <v>486</v>
      </c>
    </row>
    <row r="198" spans="2:13" ht="31.15" customHeight="1" x14ac:dyDescent="0.25">
      <c r="B198" s="20"/>
      <c r="C198" s="299" t="s">
        <v>113</v>
      </c>
      <c r="D198" s="270" t="s">
        <v>52</v>
      </c>
      <c r="E198" s="271" t="s">
        <v>480</v>
      </c>
      <c r="F198" s="272" t="s">
        <v>481</v>
      </c>
      <c r="G198" s="273" t="s">
        <v>174</v>
      </c>
      <c r="H198" s="274">
        <v>-68</v>
      </c>
      <c r="I198" s="275">
        <v>10.98</v>
      </c>
      <c r="J198" s="276"/>
      <c r="K198" s="300">
        <f t="shared" si="31"/>
        <v>-746.64</v>
      </c>
      <c r="L198" s="84">
        <f t="shared" si="28"/>
        <v>-746.64</v>
      </c>
      <c r="M198" s="21"/>
    </row>
    <row r="199" spans="2:13" ht="31.15" customHeight="1" thickBot="1" x14ac:dyDescent="0.3">
      <c r="B199" s="305" t="s">
        <v>67</v>
      </c>
      <c r="C199" s="299" t="s">
        <v>124</v>
      </c>
      <c r="D199" s="270" t="s">
        <v>52</v>
      </c>
      <c r="E199" s="271" t="s">
        <v>482</v>
      </c>
      <c r="F199" s="272" t="s">
        <v>483</v>
      </c>
      <c r="G199" s="273" t="s">
        <v>196</v>
      </c>
      <c r="H199" s="274">
        <v>-2</v>
      </c>
      <c r="I199" s="275">
        <v>2490.08</v>
      </c>
      <c r="J199" s="254"/>
      <c r="K199" s="300">
        <f t="shared" si="31"/>
        <v>-4980.16</v>
      </c>
      <c r="L199" s="301">
        <f>SUM(H199*I199)</f>
        <v>-4980.16</v>
      </c>
      <c r="M199" s="306"/>
    </row>
    <row r="200" spans="2:13" ht="31.15" customHeight="1" thickBot="1" x14ac:dyDescent="0.3">
      <c r="B200" s="33"/>
      <c r="C200" s="235"/>
      <c r="D200" s="236" t="s">
        <v>23</v>
      </c>
      <c r="E200" s="290" t="s">
        <v>484</v>
      </c>
      <c r="F200" s="290" t="s">
        <v>485</v>
      </c>
      <c r="G200" s="238"/>
      <c r="H200" s="238"/>
      <c r="I200" s="302"/>
      <c r="J200" s="303">
        <f>SUM(J201)</f>
        <v>0</v>
      </c>
      <c r="K200" s="31">
        <f>SUM(K201)</f>
        <v>0</v>
      </c>
      <c r="L200" s="32">
        <f>SUM(L201)</f>
        <v>0</v>
      </c>
      <c r="M200" s="43" t="s">
        <v>490</v>
      </c>
    </row>
    <row r="201" spans="2:13" ht="31.15" customHeight="1" x14ac:dyDescent="0.25">
      <c r="B201" s="33"/>
      <c r="C201" s="34" t="s">
        <v>124</v>
      </c>
      <c r="D201" s="34" t="s">
        <v>52</v>
      </c>
      <c r="E201" s="35" t="s">
        <v>482</v>
      </c>
      <c r="F201" s="36" t="s">
        <v>483</v>
      </c>
      <c r="G201" s="37" t="s">
        <v>196</v>
      </c>
      <c r="H201" s="38">
        <v>0</v>
      </c>
      <c r="I201" s="39">
        <v>2490.08</v>
      </c>
      <c r="J201" s="40"/>
      <c r="K201" s="304">
        <f>SUM(L201)</f>
        <v>0</v>
      </c>
      <c r="L201" s="42">
        <f>SUM(H201*I201)</f>
        <v>0</v>
      </c>
      <c r="M201" s="43" t="s">
        <v>490</v>
      </c>
    </row>
    <row r="202" spans="2:13" ht="31.15" customHeight="1" thickBot="1" x14ac:dyDescent="0.3">
      <c r="B202" s="33"/>
      <c r="C202" s="286"/>
      <c r="D202" s="287" t="s">
        <v>23</v>
      </c>
      <c r="E202" s="288" t="s">
        <v>438</v>
      </c>
      <c r="F202" s="288" t="s">
        <v>487</v>
      </c>
      <c r="G202" s="286"/>
      <c r="H202" s="286"/>
      <c r="I202" s="286"/>
      <c r="J202" s="289"/>
      <c r="K202" s="289"/>
      <c r="L202" s="289"/>
      <c r="M202" s="43" t="s">
        <v>490</v>
      </c>
    </row>
    <row r="203" spans="2:13" ht="31.15" customHeight="1" thickBot="1" x14ac:dyDescent="0.3">
      <c r="B203" s="33"/>
      <c r="C203" s="235"/>
      <c r="D203" s="236" t="s">
        <v>23</v>
      </c>
      <c r="E203" s="290" t="s">
        <v>358</v>
      </c>
      <c r="F203" s="290" t="s">
        <v>359</v>
      </c>
      <c r="G203" s="238"/>
      <c r="H203" s="238"/>
      <c r="I203" s="239"/>
      <c r="J203" s="31">
        <f>SUM(J204:J210)</f>
        <v>9228.3752999999997</v>
      </c>
      <c r="K203" s="31">
        <f>SUM(K204:K210)</f>
        <v>0</v>
      </c>
      <c r="L203" s="32">
        <f>SUM(L204:L210)</f>
        <v>9228.3752999999997</v>
      </c>
      <c r="M203" s="43" t="s">
        <v>490</v>
      </c>
    </row>
    <row r="204" spans="2:13" ht="31.15" customHeight="1" x14ac:dyDescent="0.25">
      <c r="B204" s="33"/>
      <c r="C204" s="44" t="s">
        <v>488</v>
      </c>
      <c r="D204" s="44"/>
      <c r="E204" s="45"/>
      <c r="F204" s="46" t="s">
        <v>489</v>
      </c>
      <c r="G204" s="47" t="s">
        <v>38</v>
      </c>
      <c r="H204" s="48">
        <f>SUM(28*0.8*0.5)</f>
        <v>11.200000000000001</v>
      </c>
      <c r="I204" s="49">
        <v>379.31</v>
      </c>
      <c r="J204" s="307">
        <f>SUM(L204)</f>
        <v>4248.2720000000008</v>
      </c>
      <c r="K204" s="308"/>
      <c r="L204" s="309">
        <f t="shared" ref="L204:L210" si="32">SUM(H204*I204)</f>
        <v>4248.2720000000008</v>
      </c>
      <c r="M204" s="43" t="s">
        <v>490</v>
      </c>
    </row>
    <row r="205" spans="2:13" ht="31.15" customHeight="1" x14ac:dyDescent="0.25">
      <c r="B205" s="33"/>
      <c r="C205" s="52" t="s">
        <v>491</v>
      </c>
      <c r="D205" s="52"/>
      <c r="E205" s="53"/>
      <c r="F205" s="54" t="s">
        <v>492</v>
      </c>
      <c r="G205" s="55" t="s">
        <v>38</v>
      </c>
      <c r="H205" s="56">
        <v>2.58</v>
      </c>
      <c r="I205" s="57">
        <v>169.58</v>
      </c>
      <c r="J205" s="310">
        <f t="shared" ref="J205:J210" si="33">SUM(L205)</f>
        <v>437.51640000000003</v>
      </c>
      <c r="K205" s="311"/>
      <c r="L205" s="312">
        <f t="shared" si="32"/>
        <v>437.51640000000003</v>
      </c>
      <c r="M205" s="43" t="s">
        <v>490</v>
      </c>
    </row>
    <row r="206" spans="2:13" ht="31.15" customHeight="1" x14ac:dyDescent="0.25">
      <c r="B206" s="33"/>
      <c r="C206" s="52" t="s">
        <v>493</v>
      </c>
      <c r="D206" s="52" t="s">
        <v>52</v>
      </c>
      <c r="E206" s="53" t="s">
        <v>494</v>
      </c>
      <c r="F206" s="54" t="s">
        <v>495</v>
      </c>
      <c r="G206" s="55" t="s">
        <v>38</v>
      </c>
      <c r="H206" s="56">
        <v>8.620000000000001</v>
      </c>
      <c r="I206" s="57">
        <v>84.79</v>
      </c>
      <c r="J206" s="310">
        <f t="shared" si="33"/>
        <v>730.88980000000015</v>
      </c>
      <c r="K206" s="311"/>
      <c r="L206" s="312">
        <f t="shared" si="32"/>
        <v>730.88980000000015</v>
      </c>
      <c r="M206" s="43" t="s">
        <v>490</v>
      </c>
    </row>
    <row r="207" spans="2:13" ht="31.15" customHeight="1" x14ac:dyDescent="0.25">
      <c r="B207" s="320" t="s">
        <v>67</v>
      </c>
      <c r="C207" s="52" t="s">
        <v>36</v>
      </c>
      <c r="D207" s="52" t="s">
        <v>52</v>
      </c>
      <c r="E207" s="53" t="s">
        <v>496</v>
      </c>
      <c r="F207" s="54" t="s">
        <v>497</v>
      </c>
      <c r="G207" s="55" t="s">
        <v>38</v>
      </c>
      <c r="H207" s="56">
        <v>2.04</v>
      </c>
      <c r="I207" s="57">
        <v>358.79</v>
      </c>
      <c r="J207" s="310">
        <f t="shared" si="33"/>
        <v>731.9316</v>
      </c>
      <c r="K207" s="311"/>
      <c r="L207" s="312">
        <f t="shared" si="32"/>
        <v>731.9316</v>
      </c>
      <c r="M207" s="291"/>
    </row>
    <row r="208" spans="2:13" ht="31.15" customHeight="1" x14ac:dyDescent="0.25">
      <c r="B208" s="33"/>
      <c r="C208" s="264" t="s">
        <v>40</v>
      </c>
      <c r="D208" s="264" t="s">
        <v>412</v>
      </c>
      <c r="E208" s="265" t="s">
        <v>498</v>
      </c>
      <c r="F208" s="266" t="s">
        <v>499</v>
      </c>
      <c r="G208" s="267" t="s">
        <v>47</v>
      </c>
      <c r="H208" s="268">
        <v>4.2</v>
      </c>
      <c r="I208" s="269">
        <v>381.99</v>
      </c>
      <c r="J208" s="310">
        <f t="shared" si="33"/>
        <v>1604.3580000000002</v>
      </c>
      <c r="K208" s="311"/>
      <c r="L208" s="312">
        <f t="shared" si="32"/>
        <v>1604.3580000000002</v>
      </c>
      <c r="M208" s="43" t="s">
        <v>490</v>
      </c>
    </row>
    <row r="209" spans="2:13" ht="31.15" customHeight="1" x14ac:dyDescent="0.25">
      <c r="B209" s="33"/>
      <c r="C209" s="52" t="s">
        <v>500</v>
      </c>
      <c r="D209" s="52" t="s">
        <v>52</v>
      </c>
      <c r="E209" s="53" t="s">
        <v>501</v>
      </c>
      <c r="F209" s="54" t="s">
        <v>502</v>
      </c>
      <c r="G209" s="55" t="s">
        <v>38</v>
      </c>
      <c r="H209" s="56">
        <v>2.2999999999999998</v>
      </c>
      <c r="I209" s="57">
        <v>215.99</v>
      </c>
      <c r="J209" s="310">
        <f t="shared" si="33"/>
        <v>496.77699999999999</v>
      </c>
      <c r="K209" s="311"/>
      <c r="L209" s="312">
        <f t="shared" si="32"/>
        <v>496.77699999999999</v>
      </c>
      <c r="M209" s="43" t="s">
        <v>490</v>
      </c>
    </row>
    <row r="210" spans="2:13" ht="31.15" customHeight="1" thickBot="1" x14ac:dyDescent="0.3">
      <c r="B210" s="324" t="s">
        <v>67</v>
      </c>
      <c r="C210" s="279" t="s">
        <v>43</v>
      </c>
      <c r="D210" s="279" t="s">
        <v>52</v>
      </c>
      <c r="E210" s="280" t="s">
        <v>503</v>
      </c>
      <c r="F210" s="313" t="s">
        <v>504</v>
      </c>
      <c r="G210" s="314">
        <v>3</v>
      </c>
      <c r="H210" s="315">
        <v>0.85</v>
      </c>
      <c r="I210" s="316">
        <v>1151.33</v>
      </c>
      <c r="J210" s="317">
        <f t="shared" si="33"/>
        <v>978.63049999999987</v>
      </c>
      <c r="K210" s="318"/>
      <c r="L210" s="319">
        <f t="shared" si="32"/>
        <v>978.63049999999987</v>
      </c>
      <c r="M210" s="330">
        <f>SUM(L214+L217)</f>
        <v>6246.2599999999993</v>
      </c>
    </row>
    <row r="211" spans="2:13" ht="31.15" customHeight="1" thickBot="1" x14ac:dyDescent="0.3">
      <c r="C211" s="235"/>
      <c r="D211" s="236" t="s">
        <v>23</v>
      </c>
      <c r="E211" s="290" t="s">
        <v>505</v>
      </c>
      <c r="F211" s="290" t="s">
        <v>506</v>
      </c>
      <c r="G211" s="238"/>
      <c r="H211" s="238"/>
      <c r="I211" s="239"/>
      <c r="J211" s="31">
        <f>SUM(J212:J213)</f>
        <v>2701.4400000000005</v>
      </c>
      <c r="K211" s="31">
        <f>SUM(K212:K213)</f>
        <v>0</v>
      </c>
      <c r="L211" s="32">
        <f>SUM(L212:L213)</f>
        <v>2701.4400000000005</v>
      </c>
      <c r="M211" s="43" t="s">
        <v>490</v>
      </c>
    </row>
    <row r="212" spans="2:13" ht="31.15" customHeight="1" x14ac:dyDescent="0.25">
      <c r="C212" s="44" t="s">
        <v>507</v>
      </c>
      <c r="D212" s="44" t="s">
        <v>52</v>
      </c>
      <c r="E212" s="45" t="s">
        <v>508</v>
      </c>
      <c r="F212" s="46" t="s">
        <v>509</v>
      </c>
      <c r="G212" s="47" t="s">
        <v>174</v>
      </c>
      <c r="H212" s="48">
        <v>28</v>
      </c>
      <c r="I212" s="49">
        <v>50.96</v>
      </c>
      <c r="J212" s="307">
        <f>SUM(L212)</f>
        <v>1426.88</v>
      </c>
      <c r="K212" s="308"/>
      <c r="L212" s="309">
        <f>SUM(H212*I212)</f>
        <v>1426.88</v>
      </c>
      <c r="M212" s="43" t="s">
        <v>490</v>
      </c>
    </row>
    <row r="213" spans="2:13" ht="31.15" customHeight="1" thickBot="1" x14ac:dyDescent="0.3">
      <c r="B213" s="324" t="s">
        <v>67</v>
      </c>
      <c r="C213" s="321" t="s">
        <v>379</v>
      </c>
      <c r="D213" s="321" t="s">
        <v>412</v>
      </c>
      <c r="E213" s="322" t="s">
        <v>510</v>
      </c>
      <c r="F213" s="281" t="s">
        <v>511</v>
      </c>
      <c r="G213" s="282" t="s">
        <v>174</v>
      </c>
      <c r="H213" s="283">
        <v>28</v>
      </c>
      <c r="I213" s="284">
        <v>45.52</v>
      </c>
      <c r="J213" s="323">
        <f>SUM(L213)</f>
        <v>1274.5600000000002</v>
      </c>
      <c r="K213" s="318"/>
      <c r="L213" s="319">
        <f>SUM(H213*I213)</f>
        <v>1274.5600000000002</v>
      </c>
    </row>
    <row r="214" spans="2:13" ht="31.15" customHeight="1" thickBot="1" x14ac:dyDescent="0.3">
      <c r="C214" s="325"/>
      <c r="D214" s="326" t="s">
        <v>23</v>
      </c>
      <c r="E214" s="327" t="s">
        <v>26</v>
      </c>
      <c r="F214" s="327" t="s">
        <v>512</v>
      </c>
      <c r="G214" s="328"/>
      <c r="H214" s="328"/>
      <c r="I214" s="329"/>
      <c r="J214" s="31">
        <f>SUM(J215:J216)</f>
        <v>712.03</v>
      </c>
      <c r="K214" s="31">
        <f>SUM(K215:K216)</f>
        <v>0</v>
      </c>
      <c r="L214" s="32">
        <f>SUM(L215:L216)</f>
        <v>712.03</v>
      </c>
      <c r="M214" s="43" t="s">
        <v>490</v>
      </c>
    </row>
    <row r="215" spans="2:13" ht="31.15" customHeight="1" x14ac:dyDescent="0.25">
      <c r="C215" s="44" t="s">
        <v>488</v>
      </c>
      <c r="D215" s="44" t="s">
        <v>52</v>
      </c>
      <c r="E215" s="45" t="s">
        <v>513</v>
      </c>
      <c r="F215" s="46" t="s">
        <v>514</v>
      </c>
      <c r="G215" s="47" t="s">
        <v>174</v>
      </c>
      <c r="H215" s="48">
        <v>2</v>
      </c>
      <c r="I215" s="49">
        <v>211.9</v>
      </c>
      <c r="J215" s="307">
        <f>SUM(L215)</f>
        <v>423.8</v>
      </c>
      <c r="K215" s="308"/>
      <c r="L215" s="309">
        <f>SUM(H215*I215)</f>
        <v>423.8</v>
      </c>
      <c r="M215" s="43" t="s">
        <v>490</v>
      </c>
    </row>
    <row r="216" spans="2:13" ht="31.15" customHeight="1" thickBot="1" x14ac:dyDescent="0.3">
      <c r="C216" s="279" t="s">
        <v>360</v>
      </c>
      <c r="D216" s="279" t="s">
        <v>52</v>
      </c>
      <c r="E216" s="280" t="s">
        <v>515</v>
      </c>
      <c r="F216" s="313" t="s">
        <v>516</v>
      </c>
      <c r="G216" s="314" t="s">
        <v>174</v>
      </c>
      <c r="H216" s="315">
        <v>1</v>
      </c>
      <c r="I216" s="316">
        <v>288.23</v>
      </c>
      <c r="J216" s="317">
        <f>SUM(L216)</f>
        <v>288.23</v>
      </c>
      <c r="K216" s="318"/>
      <c r="L216" s="319">
        <f>SUM(H216*I216)</f>
        <v>288.23</v>
      </c>
      <c r="M216" s="43" t="s">
        <v>490</v>
      </c>
    </row>
    <row r="217" spans="2:13" ht="31.15" customHeight="1" thickBot="1" x14ac:dyDescent="0.3">
      <c r="C217" s="235"/>
      <c r="D217" s="236" t="s">
        <v>23</v>
      </c>
      <c r="E217" s="290" t="s">
        <v>34</v>
      </c>
      <c r="F217" s="290" t="s">
        <v>359</v>
      </c>
      <c r="G217" s="238"/>
      <c r="H217" s="238"/>
      <c r="I217" s="239"/>
      <c r="J217" s="31">
        <f>SUM(J218:J223)</f>
        <v>5534.23</v>
      </c>
      <c r="K217" s="31">
        <f>SUM(K218:K223)</f>
        <v>0</v>
      </c>
      <c r="L217" s="32">
        <f>SUM(L218:L223)</f>
        <v>5534.23</v>
      </c>
      <c r="M217" s="43" t="s">
        <v>490</v>
      </c>
    </row>
    <row r="218" spans="2:13" ht="31.15" customHeight="1" x14ac:dyDescent="0.25">
      <c r="C218" s="44" t="s">
        <v>43</v>
      </c>
      <c r="D218" s="44" t="s">
        <v>52</v>
      </c>
      <c r="E218" s="45" t="s">
        <v>517</v>
      </c>
      <c r="F218" s="46" t="s">
        <v>518</v>
      </c>
      <c r="G218" s="47" t="s">
        <v>38</v>
      </c>
      <c r="H218" s="48">
        <v>2.5</v>
      </c>
      <c r="I218" s="49">
        <v>256.77999999999997</v>
      </c>
      <c r="J218" s="307">
        <f>SUM(L218)</f>
        <v>641.94999999999993</v>
      </c>
      <c r="K218" s="308"/>
      <c r="L218" s="309">
        <f t="shared" ref="L218:L223" si="34">SUM(H218*I218)</f>
        <v>641.94999999999993</v>
      </c>
      <c r="M218" s="43" t="s">
        <v>490</v>
      </c>
    </row>
    <row r="219" spans="2:13" ht="31.15" customHeight="1" x14ac:dyDescent="0.25">
      <c r="C219" s="52" t="s">
        <v>507</v>
      </c>
      <c r="D219" s="52" t="s">
        <v>52</v>
      </c>
      <c r="E219" s="53" t="s">
        <v>519</v>
      </c>
      <c r="F219" s="54" t="s">
        <v>520</v>
      </c>
      <c r="G219" s="55" t="s">
        <v>38</v>
      </c>
      <c r="H219" s="56">
        <v>2</v>
      </c>
      <c r="I219" s="57">
        <v>275.02999999999997</v>
      </c>
      <c r="J219" s="310">
        <f t="shared" ref="J219:J223" si="35">SUM(L219)</f>
        <v>550.05999999999995</v>
      </c>
      <c r="K219" s="311"/>
      <c r="L219" s="312">
        <f t="shared" si="34"/>
        <v>550.05999999999995</v>
      </c>
      <c r="M219" s="43" t="s">
        <v>490</v>
      </c>
    </row>
    <row r="220" spans="2:13" ht="31.15" customHeight="1" x14ac:dyDescent="0.25">
      <c r="C220" s="52" t="s">
        <v>379</v>
      </c>
      <c r="D220" s="52" t="s">
        <v>52</v>
      </c>
      <c r="E220" s="53" t="s">
        <v>521</v>
      </c>
      <c r="F220" s="54" t="s">
        <v>522</v>
      </c>
      <c r="G220" s="55" t="s">
        <v>38</v>
      </c>
      <c r="H220" s="56">
        <v>1</v>
      </c>
      <c r="I220" s="57">
        <v>245.76</v>
      </c>
      <c r="J220" s="310">
        <f t="shared" si="35"/>
        <v>245.76</v>
      </c>
      <c r="K220" s="311"/>
      <c r="L220" s="312">
        <f t="shared" si="34"/>
        <v>245.76</v>
      </c>
    </row>
    <row r="221" spans="2:13" ht="31.15" customHeight="1" x14ac:dyDescent="0.25">
      <c r="C221" s="52" t="s">
        <v>51</v>
      </c>
      <c r="D221" s="52" t="s">
        <v>52</v>
      </c>
      <c r="E221" s="53" t="s">
        <v>523</v>
      </c>
      <c r="F221" s="54" t="s">
        <v>524</v>
      </c>
      <c r="G221" s="55" t="s">
        <v>174</v>
      </c>
      <c r="H221" s="56">
        <v>4</v>
      </c>
      <c r="I221" s="57">
        <v>222.41</v>
      </c>
      <c r="J221" s="310">
        <f t="shared" si="35"/>
        <v>889.64</v>
      </c>
      <c r="K221" s="311"/>
      <c r="L221" s="312">
        <f t="shared" si="34"/>
        <v>889.64</v>
      </c>
    </row>
    <row r="222" spans="2:13" ht="31.15" customHeight="1" x14ac:dyDescent="0.25">
      <c r="C222" s="52" t="s">
        <v>365</v>
      </c>
      <c r="D222" s="52" t="s">
        <v>52</v>
      </c>
      <c r="E222" s="53" t="s">
        <v>525</v>
      </c>
      <c r="F222" s="54" t="s">
        <v>526</v>
      </c>
      <c r="G222" s="55" t="s">
        <v>174</v>
      </c>
      <c r="H222" s="56">
        <v>6</v>
      </c>
      <c r="I222" s="57">
        <v>285.52999999999997</v>
      </c>
      <c r="J222" s="310">
        <f t="shared" si="35"/>
        <v>1713.1799999999998</v>
      </c>
      <c r="K222" s="311"/>
      <c r="L222" s="312">
        <f t="shared" si="34"/>
        <v>1713.1799999999998</v>
      </c>
    </row>
    <row r="223" spans="2:13" ht="31.15" customHeight="1" x14ac:dyDescent="0.25">
      <c r="C223" s="52" t="s">
        <v>368</v>
      </c>
      <c r="D223" s="52" t="s">
        <v>52</v>
      </c>
      <c r="E223" s="53" t="s">
        <v>527</v>
      </c>
      <c r="F223" s="54" t="s">
        <v>528</v>
      </c>
      <c r="G223" s="55" t="s">
        <v>38</v>
      </c>
      <c r="H223" s="56">
        <v>6</v>
      </c>
      <c r="I223" s="57">
        <v>248.94</v>
      </c>
      <c r="J223" s="310">
        <f t="shared" si="35"/>
        <v>1493.6399999999999</v>
      </c>
      <c r="K223" s="311"/>
      <c r="L223" s="312">
        <f t="shared" si="34"/>
        <v>1493.6399999999999</v>
      </c>
    </row>
  </sheetData>
  <mergeCells count="4">
    <mergeCell ref="E6:H6"/>
    <mergeCell ref="K7:M7"/>
    <mergeCell ref="E8:H8"/>
    <mergeCell ref="L13:M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Změnový list č.5</vt:lpstr>
      <vt:lpstr>paragraf 4</vt:lpstr>
      <vt:lpstr>Změnový list č.6</vt:lpstr>
      <vt:lpstr>pragraf 6</vt:lpstr>
      <vt:lpstr>Podklad pro ZL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Mrštný</dc:creator>
  <cp:lastModifiedBy>Pavel Toman</cp:lastModifiedBy>
  <cp:lastPrinted>2020-02-14T06:52:04Z</cp:lastPrinted>
  <dcterms:created xsi:type="dcterms:W3CDTF">2019-11-25T13:12:19Z</dcterms:created>
  <dcterms:modified xsi:type="dcterms:W3CDTF">2020-02-22T19:43:29Z</dcterms:modified>
</cp:coreProperties>
</file>