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_data\Podnikání\Obec_Věž\Rozpočet\"/>
    </mc:Choice>
  </mc:AlternateContent>
  <xr:revisionPtr revIDLastSave="0" documentId="13_ncr:1_{5C235419-730C-46AB-8848-AEB248345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E71" i="1"/>
  <c r="E70" i="1"/>
  <c r="E8" i="1"/>
  <c r="E51" i="1"/>
  <c r="E90" i="1"/>
  <c r="H90" i="1" s="1"/>
  <c r="E76" i="1"/>
  <c r="H76" i="1" s="1"/>
  <c r="E82" i="1"/>
  <c r="E83" i="1"/>
  <c r="E39" i="1"/>
  <c r="E80" i="1"/>
  <c r="E7" i="1"/>
  <c r="E36" i="1"/>
  <c r="H3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47" i="1"/>
  <c r="H47" i="1" s="1"/>
  <c r="D36" i="1"/>
  <c r="D47" i="1"/>
  <c r="D76" i="1"/>
  <c r="D90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75" i="1"/>
  <c r="E74" i="1"/>
  <c r="E93" i="1"/>
  <c r="E72" i="1"/>
  <c r="E63" i="1"/>
  <c r="E57" i="1"/>
  <c r="E55" i="1"/>
  <c r="E89" i="1"/>
  <c r="H89" i="1" s="1"/>
  <c r="E88" i="1"/>
  <c r="H88" i="1" s="1"/>
  <c r="H51" i="1"/>
  <c r="E81" i="1"/>
  <c r="E30" i="1"/>
  <c r="E28" i="1"/>
  <c r="E92" i="1"/>
  <c r="E91" i="1"/>
  <c r="E42" i="1"/>
  <c r="E15" i="1"/>
  <c r="E13" i="1"/>
  <c r="E84" i="1"/>
  <c r="E61" i="1"/>
  <c r="E27" i="1"/>
  <c r="E21" i="1"/>
  <c r="E20" i="1"/>
  <c r="E19" i="1"/>
  <c r="E18" i="1"/>
  <c r="E17" i="1"/>
  <c r="E16" i="1"/>
  <c r="E14" i="1"/>
  <c r="E12" i="1"/>
  <c r="E11" i="1"/>
  <c r="E56" i="1"/>
  <c r="E31" i="1"/>
  <c r="D21" i="1"/>
  <c r="D27" i="1"/>
  <c r="D11" i="1"/>
  <c r="D16" i="1"/>
  <c r="D17" i="1"/>
  <c r="D88" i="1"/>
  <c r="D19" i="1"/>
  <c r="D13" i="1"/>
  <c r="D31" i="1"/>
  <c r="D42" i="1"/>
  <c r="D12" i="1"/>
  <c r="D51" i="1"/>
  <c r="D9" i="1"/>
  <c r="D14" i="1"/>
  <c r="D61" i="1"/>
  <c r="D15" i="1"/>
  <c r="D32" i="1"/>
  <c r="D20" i="1"/>
  <c r="D89" i="1"/>
  <c r="D18" i="1"/>
  <c r="A46" i="1" l="1"/>
  <c r="E38" i="1"/>
  <c r="D84" i="1"/>
  <c r="D66" i="1"/>
  <c r="D65" i="1"/>
  <c r="D62" i="1"/>
  <c r="D7" i="1"/>
  <c r="D93" i="1"/>
  <c r="D29" i="1"/>
  <c r="D49" i="1"/>
  <c r="D35" i="1"/>
  <c r="D39" i="1"/>
  <c r="D34" i="1"/>
  <c r="D25" i="1"/>
  <c r="D26" i="1"/>
  <c r="D72" i="1"/>
  <c r="D74" i="1"/>
  <c r="D71" i="1"/>
  <c r="D63" i="1"/>
  <c r="D57" i="1"/>
  <c r="D30" i="1"/>
  <c r="D73" i="1"/>
  <c r="D28" i="1"/>
  <c r="D75" i="1"/>
  <c r="D46" i="1"/>
  <c r="D64" i="1"/>
  <c r="D80" i="1"/>
  <c r="D70" i="1"/>
  <c r="D83" i="1"/>
  <c r="D81" i="1"/>
  <c r="D8" i="1"/>
  <c r="D56" i="1"/>
  <c r="D48" i="1"/>
  <c r="D33" i="1"/>
  <c r="D50" i="1"/>
  <c r="D82" i="1"/>
  <c r="D91" i="1"/>
  <c r="D55" i="1"/>
  <c r="D37" i="1"/>
  <c r="D38" i="1"/>
  <c r="D92" i="1"/>
  <c r="A47" i="1" l="1"/>
  <c r="A48" i="1" s="1"/>
  <c r="A49" i="1" s="1"/>
  <c r="A50" i="1" s="1"/>
  <c r="A51" i="1" s="1"/>
  <c r="A55" i="1" s="1"/>
  <c r="A56" i="1" s="1"/>
  <c r="A57" i="1" s="1"/>
  <c r="A61" i="1" s="1"/>
  <c r="A62" i="1" s="1"/>
  <c r="A63" i="1" s="1"/>
  <c r="A64" i="1" s="1"/>
  <c r="A65" i="1" s="1"/>
  <c r="A66" i="1" s="1"/>
  <c r="A70" i="1" s="1"/>
  <c r="A71" i="1" s="1"/>
  <c r="A72" i="1" s="1"/>
  <c r="A73" i="1" s="1"/>
  <c r="A74" i="1" s="1"/>
  <c r="H7" i="1"/>
  <c r="H8" i="1"/>
  <c r="H93" i="1"/>
  <c r="E35" i="1"/>
  <c r="H35" i="1" s="1"/>
  <c r="E37" i="1"/>
  <c r="H37" i="1" s="1"/>
  <c r="H39" i="1"/>
  <c r="H38" i="1"/>
  <c r="E34" i="1"/>
  <c r="H34" i="1" s="1"/>
  <c r="E33" i="1"/>
  <c r="H33" i="1" s="1"/>
  <c r="H42" i="1"/>
  <c r="E32" i="1"/>
  <c r="H32" i="1" s="1"/>
  <c r="H11" i="1"/>
  <c r="H12" i="1"/>
  <c r="E9" i="1"/>
  <c r="E10" i="1" s="1"/>
  <c r="H10" i="1" s="1"/>
  <c r="H16" i="1"/>
  <c r="H17" i="1"/>
  <c r="H18" i="1"/>
  <c r="H19" i="1"/>
  <c r="H20" i="1"/>
  <c r="H21" i="1"/>
  <c r="H14" i="1"/>
  <c r="H13" i="1"/>
  <c r="H15" i="1"/>
  <c r="A75" i="1" l="1"/>
  <c r="A76" i="1" s="1"/>
  <c r="A80" i="1" s="1"/>
  <c r="A81" i="1" s="1"/>
  <c r="A82" i="1" s="1"/>
  <c r="A83" i="1" s="1"/>
  <c r="A84" i="1" s="1"/>
  <c r="A88" i="1" s="1"/>
  <c r="H9" i="1"/>
  <c r="H22" i="1" s="1"/>
  <c r="E66" i="1"/>
  <c r="H66" i="1" s="1"/>
  <c r="E65" i="1"/>
  <c r="H65" i="1" s="1"/>
  <c r="E64" i="1"/>
  <c r="H64" i="1" s="1"/>
  <c r="H63" i="1"/>
  <c r="E62" i="1"/>
  <c r="H62" i="1" s="1"/>
  <c r="H61" i="1"/>
  <c r="H67" i="1" s="1"/>
  <c r="H57" i="1"/>
  <c r="H56" i="1"/>
  <c r="H55" i="1"/>
  <c r="H92" i="1"/>
  <c r="H91" i="1"/>
  <c r="H84" i="1"/>
  <c r="H83" i="1"/>
  <c r="H82" i="1"/>
  <c r="H80" i="1"/>
  <c r="H75" i="1"/>
  <c r="H74" i="1"/>
  <c r="H73" i="1"/>
  <c r="H72" i="1"/>
  <c r="H71" i="1"/>
  <c r="H70" i="1"/>
  <c r="E29" i="1"/>
  <c r="H29" i="1" s="1"/>
  <c r="H30" i="1"/>
  <c r="H28" i="1"/>
  <c r="H27" i="1"/>
  <c r="E26" i="1"/>
  <c r="E25" i="1"/>
  <c r="H25" i="1" s="1"/>
  <c r="H31" i="1"/>
  <c r="E49" i="1"/>
  <c r="H49" i="1" s="1"/>
  <c r="E48" i="1"/>
  <c r="H48" i="1" s="1"/>
  <c r="E46" i="1"/>
  <c r="H46" i="1" s="1"/>
  <c r="E50" i="1"/>
  <c r="H50" i="1" s="1"/>
  <c r="H58" i="1" l="1"/>
  <c r="H94" i="1"/>
  <c r="H52" i="1"/>
  <c r="A89" i="1"/>
  <c r="H77" i="1"/>
  <c r="H81" i="1"/>
  <c r="H85" i="1" s="1"/>
  <c r="H26" i="1"/>
  <c r="E40" i="1"/>
  <c r="A90" i="1" l="1"/>
  <c r="A91" i="1" s="1"/>
  <c r="A92" i="1" s="1"/>
  <c r="A93" i="1" s="1"/>
  <c r="E41" i="1"/>
  <c r="H41" i="1" s="1"/>
  <c r="H40" i="1"/>
  <c r="H43" i="1" s="1"/>
  <c r="H95" i="1" s="1"/>
</calcChain>
</file>

<file path=xl/sharedStrings.xml><?xml version="1.0" encoding="utf-8"?>
<sst xmlns="http://schemas.openxmlformats.org/spreadsheetml/2006/main" count="275" uniqueCount="216">
  <si>
    <t>Kód položky</t>
  </si>
  <si>
    <t>Název položky</t>
  </si>
  <si>
    <t>Měrná jednotka</t>
  </si>
  <si>
    <t>Jednotková cena</t>
  </si>
  <si>
    <t>Výpočet</t>
  </si>
  <si>
    <t>Množství</t>
  </si>
  <si>
    <t>Poř.č.</t>
  </si>
  <si>
    <t>014112</t>
  </si>
  <si>
    <t xml:space="preserve">014132     </t>
  </si>
  <si>
    <t>027111</t>
  </si>
  <si>
    <t>027113</t>
  </si>
  <si>
    <t>027121</t>
  </si>
  <si>
    <t>027123</t>
  </si>
  <si>
    <t>Poznámka</t>
  </si>
  <si>
    <t>KPLMěsíc</t>
  </si>
  <si>
    <t>027421</t>
  </si>
  <si>
    <t>027422</t>
  </si>
  <si>
    <t>027423</t>
  </si>
  <si>
    <t>02910</t>
  </si>
  <si>
    <t xml:space="preserve">KPL </t>
  </si>
  <si>
    <t>029412</t>
  </si>
  <si>
    <t xml:space="preserve">02943 </t>
  </si>
  <si>
    <t>KPL</t>
  </si>
  <si>
    <t>02945</t>
  </si>
  <si>
    <t>HM</t>
  </si>
  <si>
    <t xml:space="preserve">02953 </t>
  </si>
  <si>
    <t>KUS</t>
  </si>
  <si>
    <t>T</t>
  </si>
  <si>
    <t>M2</t>
  </si>
  <si>
    <t>03100</t>
  </si>
  <si>
    <t>Oddíl 1 Zemní práce</t>
  </si>
  <si>
    <t>11120</t>
  </si>
  <si>
    <t>11130</t>
  </si>
  <si>
    <t>11201</t>
  </si>
  <si>
    <t>113136</t>
  </si>
  <si>
    <t>M3</t>
  </si>
  <si>
    <t>113326</t>
  </si>
  <si>
    <t>113336</t>
  </si>
  <si>
    <t>11527</t>
  </si>
  <si>
    <t>M</t>
  </si>
  <si>
    <t>124936</t>
  </si>
  <si>
    <t>131836</t>
  </si>
  <si>
    <t>131936</t>
  </si>
  <si>
    <t>17380</t>
  </si>
  <si>
    <t>17581</t>
  </si>
  <si>
    <t>18120</t>
  </si>
  <si>
    <t>18222</t>
  </si>
  <si>
    <t>18241</t>
  </si>
  <si>
    <t>Oddíl 2 Základy</t>
  </si>
  <si>
    <t>21263</t>
  </si>
  <si>
    <t>22694</t>
  </si>
  <si>
    <t>22695A</t>
  </si>
  <si>
    <t>27157</t>
  </si>
  <si>
    <t>Oddíl 3 Svislé konstrukce</t>
  </si>
  <si>
    <t>33817C</t>
  </si>
  <si>
    <t>348172</t>
  </si>
  <si>
    <t>KG</t>
  </si>
  <si>
    <t>Oddíl 4 Vodorovné konstrukce</t>
  </si>
  <si>
    <t>429174</t>
  </si>
  <si>
    <t>451523</t>
  </si>
  <si>
    <t>461313</t>
  </si>
  <si>
    <t>46451</t>
  </si>
  <si>
    <t>465512</t>
  </si>
  <si>
    <t>467314</t>
  </si>
  <si>
    <t>Oddíl 5 Komunikace</t>
  </si>
  <si>
    <t>Oddíl 0 Všeobecné položky</t>
  </si>
  <si>
    <t>56313</t>
  </si>
  <si>
    <t>56343</t>
  </si>
  <si>
    <t>572121</t>
  </si>
  <si>
    <t>574C06</t>
  </si>
  <si>
    <t>574E06</t>
  </si>
  <si>
    <t>Oddíl 7 Ostatní konstrukce a práce</t>
  </si>
  <si>
    <t>711111</t>
  </si>
  <si>
    <t>711137</t>
  </si>
  <si>
    <t>711509</t>
  </si>
  <si>
    <t>767911</t>
  </si>
  <si>
    <t>76796</t>
  </si>
  <si>
    <t>Oddíl 9 Specielní stavební práce</t>
  </si>
  <si>
    <t>966126</t>
  </si>
  <si>
    <t>966136</t>
  </si>
  <si>
    <t>15% plochy</t>
  </si>
  <si>
    <t xml:space="preserve">M  </t>
  </si>
  <si>
    <t>132836</t>
  </si>
  <si>
    <t>966156</t>
  </si>
  <si>
    <t>=54*1,2</t>
  </si>
  <si>
    <t>Všeobecné položky celkem</t>
  </si>
  <si>
    <t>Zemní práce celkem</t>
  </si>
  <si>
    <t>Základy celkem</t>
  </si>
  <si>
    <t>Svislé konstrukce celkem</t>
  </si>
  <si>
    <t>Vodorovné konstrukce celkem</t>
  </si>
  <si>
    <t>Komunikace celkem</t>
  </si>
  <si>
    <t>Ostatní konstrukce a práce celkem</t>
  </si>
  <si>
    <t>OBJEKT MOST CELKEM</t>
  </si>
  <si>
    <t>Specielní stavební práce celkem</t>
  </si>
  <si>
    <t>=55,16+14,35+18,65+52,23</t>
  </si>
  <si>
    <t>80% celkového množství</t>
  </si>
  <si>
    <t>20% celkového množství</t>
  </si>
  <si>
    <t>184B27</t>
  </si>
  <si>
    <t>327314</t>
  </si>
  <si>
    <t>za opěrami</t>
  </si>
  <si>
    <t>vrátka směrem k potoku - obnova</t>
  </si>
  <si>
    <t>272314</t>
  </si>
  <si>
    <t>ks</t>
  </si>
  <si>
    <t>Cena celkem bez DPH</t>
  </si>
  <si>
    <t>délka x šířka</t>
  </si>
  <si>
    <t>plocha před ZS</t>
  </si>
  <si>
    <t>dle ploch dočasného a trvalého záboru</t>
  </si>
  <si>
    <t>viz označení v situaci</t>
  </si>
  <si>
    <t>šířka x délka x 5cm</t>
  </si>
  <si>
    <t>šířka x délka x 30cm</t>
  </si>
  <si>
    <t>šířka x délka x 10cm (mimo most)</t>
  </si>
  <si>
    <t>rozdíl ploch x průměrná délka</t>
  </si>
  <si>
    <t>pro budouvání obtoku</t>
  </si>
  <si>
    <t>polštář pod ocelovou klenbou</t>
  </si>
  <si>
    <t>drenážní vrstva</t>
  </si>
  <si>
    <t>napojení koryta před a za zpevněnou úpravou</t>
  </si>
  <si>
    <t>na vtoku a na výtoku, v betonových křídlech</t>
  </si>
  <si>
    <t>na sloupku před mostem ve směru od obce Věž</t>
  </si>
  <si>
    <t>Pro skladbu položek a odhad ceny bylo použito materiálů cenové databáze SFDI CÚ 2021</t>
  </si>
  <si>
    <t>21451</t>
  </si>
  <si>
    <t>rezerva, použije se pouze se souhlasem investora</t>
  </si>
  <si>
    <r>
      <t xml:space="preserve">POPLATKY ZA SKLÁDKU TYP S-IO (INERTNÍ ODPAD)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poplatky provozovateli skládky související s uložením odpadu na skládce.</t>
    </r>
  </si>
  <si>
    <r>
      <t xml:space="preserve">POPLATKY ZA SKLÁDKU TYP S-NO (NEBEZPEČNÝ ODPAD)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poplatky provozovateli skládky související s uložením odpadu na skládce.</t>
    </r>
  </si>
  <si>
    <r>
      <t xml:space="preserve">OSTATNÍ POŽADAVKY - ZEMĚMĚŘIČSKÁ MĚŘENÍ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náklady spojené s objednatelem požadovanými pracemi,
- pro stanovení orientační investorské ceny určete jednotkovou cenu jako 1% odhadované
ceny stavby</t>
    </r>
  </si>
  <si>
    <r>
      <t xml:space="preserve">OSTATNÍ POŽADAVKY - VYPRACOVÁNÍ MOSTNÍHO LISTU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náklady spojené s objednatelem požadovanými pracemi</t>
    </r>
  </si>
  <si>
    <r>
      <t xml:space="preserve">ZAŘÍZENÍ STAVENIŠTĚ - ZŘÍZENÍ, PROVOZ, DEMONTÁŽ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objednatelem povolené náklady na pořízení (event. pronájem), provozování,
udržování a likvidaci zhotovitelova zařízení</t>
    </r>
  </si>
  <si>
    <r>
      <t xml:space="preserve">KÁCENÍ STROMŮ D KMENE DO 0,5M S ODSTRANĚNÍM PAŘEZŮ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Kácení stromů se měří v [ks] poražených stromů (průměr stromů se měří ve výšce 1,3m nad
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  </r>
  </si>
  <si>
    <r>
      <t xml:space="preserve">ODSTRANĚNÍ KRYTU ZPEVNĚNÝCH PLOCH S ASFALT POJIVEM, ODVOZ DO 12KM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Položka zahrnuje veškerou manipulaci s vybouranou sutí a s vybouranými hmotami vč.
uložení na skládku. Nezahrnuje poplatek za skládku, který se vykazuje v položce 0141** (s
výjimkou malého množství bouraného materiálu, kde je možné poplatek zahrnout do
jednotkové ceny bourání – tento fakt musí být uveden v doplňujícím textu k položce).</t>
    </r>
  </si>
  <si>
    <r>
      <t xml:space="preserve">ODSTRAN PODKL ZPEVNĚNÝCH PLOCH Z KAMENIVA NESTMEL, ODVOZ DO 12KM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Položka zahrnuje veškerou manipulaci s vybouranou sutí a s vybouranými hmotami vč.
uložení na skládku. Nezahrnuje poplatek za skládku, který se vykazuje v položce 0141** (s
výjimkou malého množství bouraného materiálu, kde je možné poplatek zahrnout do
jednotkové ceny bourání – tento fakt musí být uveden v doplňujícím textu k položce).</t>
    </r>
  </si>
  <si>
    <r>
      <t xml:space="preserve">ODSTRAN PODKL ZPEVNĚNÝCH PLOCH S ASFALT POJIVEM, ODVOZ DO 12KM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Položka zahrnuje veškerou manipulaci s vybouranou sutí a s vybouranými hmotami vč.
uložení na skládku. Nezahrnuje poplatek za skládku, který se vykazuje v položce 0141** (s
výjimkou malého množství bouraného materiálu, kde je možné poplatek zahrnout do
jednotkové ceny bourání – tento fakt musí být uveden v doplňujícím textu k položce).</t>
    </r>
  </si>
  <si>
    <r>
      <t xml:space="preserve">PŘEV VOD NA POVRCHU POTR DN DO 1000MM NEBO ŽLAB R.O. DO 3,6M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Položka převedení vody na povrchu zahrnuje zřízení, udržování a odstranění příslušného
zařízení. Převedení vody se uvádí buď průměrem potrubí (DN) nebo délkou rozvinutého
obvodu žlabu (r.o.).</t>
    </r>
  </si>
  <si>
    <r>
      <t xml:space="preserve">HLOUBENÍ JAM ZAPAŽ I NEPAŽ TŘ. II, ODVOZ DO 12KM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
zajištění
- ztížení pod vodou, v okolí výbušnin, ve stísněných prostorech a pod.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
lešení, podpěr. konstr., přemostění, zpevněné plochy, zakrytí a pod.)
- nezahrnuje uložení zeminy (na skládku, do násypu) ani poplatky za skládku, vykazují se v
položce č.0141**</t>
    </r>
  </si>
  <si>
    <r>
      <t xml:space="preserve">HLOUBENÍ JAM ZAPAŽ I NEPAŽ TŘ. III, ODVOZ DO 12KM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
zajištění
- ztížení pod vodou, v okolí výbušnin, ve stísněných prostorech a pod.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
lešení, podpěr. konstr., přemostění, zpevněné plochy, zakrytí a pod.)
- nezahrnuje uložení zeminy (na skládku, do násypu) ani poplatky za skládku, vykazují se v
položce č.0141**</t>
    </r>
  </si>
  <si>
    <r>
      <t xml:space="preserve">HLOUBENÍ RÝH ŠÍŘ DO 2M PAŽ I NEPAŽ TŘ. II, ODVOZ DO 12KM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
zajištění
- ztížení pod vodou, v okolí výbušnin, ve stísněných prostorech a pod.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
lešení, podpěr. konstr., přemostění, zpevněné plochy, zakrytí a pod.)
- nezahrnuje uložení zeminy (na skládku, do násypu) ani poplatky za skládku, vykazují se v
položce č.0141**</t>
    </r>
  </si>
  <si>
    <r>
      <t xml:space="preserve">ZEMNÍ KRAJNICE A DOSYPÁVKY Z NAKUPOVANÝCH MATERIÁLŮ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položka zahrnuje:
- kompletní provedení zemní konstrukce včetně nákupu a dopravy materiálu dle zadávací
dokumentace
- úprava ukládaného materiálu vlhčením, tříděním, promícháním nebo vysoušením, příp.
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pomocné konstrukce umožňující provedení zemní konstrukce (příjezdy, sjezdy,
nájezdy, lešení, podpěrné konstrukce, přemostění, zpevněné plochy, zakrytí a pod.)</t>
    </r>
  </si>
  <si>
    <r>
      <t xml:space="preserve">OBSYP POTRUBÍ A OBJEKTŮ Z NAKUPOVANÝCH MATERIÁLŮ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položka zahrnuje:
- kompletní provedení zemní konstrukce včetně nákupu a dopravy materiálu dle zadávací
dokumentace
- úprava ukládaného materiálu vlhčením, tříděním, promícháním nebo vysoušením, příp.
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pomocné konstrukce umožňující provedení zemní konstrukce (příjezdy, sjezdy,
nájezdy, lešení, podpěrné konstrukce, přemostění, zpevněné plochy, zakrytí a pod.)
- zemina vytlačená potrubím o DN do 180mm se od kubatury obsypů neodečítá</t>
    </r>
  </si>
  <si>
    <r>
      <t xml:space="preserve">ÚPRAVA PLÁNĚ SE ZHUTNĚNÍM V HORNINĚ TŘ. II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položka zahrnuje úpravu pláně včetně vyrovnání výškových rozdílů. Míru zhutnění určuje
projekt.</t>
    </r>
  </si>
  <si>
    <r>
      <t xml:space="preserve">ROZPROSTŘENÍ ORNICE VE SVAHU V TL DO 0,15M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položka zahrnuje:
nutné přemístění ornice z dočasných skládek vzdálených do 50m
rozprostření ornice v předepsané tloušťce ve svahu přes 1:5</t>
    </r>
  </si>
  <si>
    <r>
      <t xml:space="preserve">ZALOŽENÍ TRÁVNÍKU RUČNÍM VÝSEVEM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Zahrnuje dodání předepsané travní směsi, její výsev na ornici, zalévání, první pokosení, to
vše bez ohledu na sklon terénu</t>
    </r>
  </si>
  <si>
    <r>
      <t xml:space="preserve">VYSAZOVÁNÍ STROMŮ LISTNATÝCH V KONTEJNERU OBVOD KMENE DO 20CM,
PODCHOZÍ VÝŠ MIN 2,4M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Položka vysazování stromů dodávku projektem předepsaných stromů, hloubení jamek (min.
rozměry pro stromy min. 1,5 násobek balu výpěstku) s event. výměnou půdy, s hnojením
anorganickým hnojivem a přídavkem organického hnojiva min. 5kg pro stromy, zálivku, kůly,
chráničky ke stromům nebo ochrana stromů nátěrem a pod.
Obvod kmene se měří ve výšce 1,00m nad zemí.
položka zahrnuje veškerý materiál, výrobky a polotovary, včetně mimostaveništní a
vnitrostaveništní dopravy (rovněž přesuny), včetně naložení a složení, případně s uložením</t>
    </r>
  </si>
  <si>
    <t>17120</t>
  </si>
  <si>
    <r>
      <rPr>
        <b/>
        <sz val="11"/>
        <color theme="1"/>
        <rFont val="Calibri"/>
        <family val="2"/>
        <charset val="238"/>
        <scheme val="minor"/>
      </rPr>
      <t>ULOŽENÍ SYPANINY DO NÁSYPŮ A NA SKLÁDKY BEZ ZHUTNĚNÍ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pomocné konstrukce umožňující provedení zemní konstrukce (příjezdy, sjezdy,
nájezdy, lešení, podpěrné konstrukce, přemostění, zpevněné plochy, zakrytí a pod.)</t>
    </r>
  </si>
  <si>
    <r>
      <t xml:space="preserve">SEJMUTÍ DRNU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včetně vodorovné dopravy a uložení na skládku</t>
    </r>
  </si>
  <si>
    <r>
      <t xml:space="preserve">ODSTRANĚNÍ KŘOVIN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odstranění křovin a stromů do průměru 100 mm
doprava dřevin bez ohledu na vzdálenost
spálení na hromadách nebo štěpkování</t>
    </r>
  </si>
  <si>
    <r>
      <t xml:space="preserve">VYKOPÁVKY PRO KORYTA VODOTEČÍ TŘ. III, ODVOZ DO 12KM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položka zahrnuje:  vodorovná a svislá doprava, přemístění, přeložení, manipulace s výkopkem + kompletní provedení vykopávky nezapažené i zapažené + ošetření výkopiště po celou dobu práce v něm vč. klimatických opatření + ztížení vykopávek v blízkosti podzemního vedení, konstrukcí a objektů vč. jejich dočasného zajištění + ztížení pod vodou, v okolí výbušnin, ve stísněných prostorech a pod. + těžení po vrstvách, pásech a po jiných nutných částech (figurách) + čerpání vody vč. čerpacích jímek, potrubí a pohotovostní čerpací soupravy (viz ustanovení k
pol. 1151,2) + potřebné snížení hladiny podzemní vody + těžení a rozpojování jednotlivých balvanů + vytahování a nošení výkopku + svahování a přesvah. svahů do konečného tvaru, výměna hornin v podloží a v pláni
znehodnocené klimatickými vlivy + eventuelně nutné druhotné rozpojení odstřelené horniny + ruční vykopávky, odstranění kořenů a napadávek + pažení, vzepření a rozepření vč. přepažování (vyjma štětových stěn)
+ úpravu, ochranu a očištění dna, základové spáry, stěn a svahů + zhutnění podloží, případně i svahů vč. svahování + zřízení stupňů v podloží a lavic na svazích, není-li pro tyto práce zřízena samostatná
položka + udržování výkopiště a jeho ochrana proti vodě + odvedení nebo obvedení vody v okolí výkopiště a ve výkopišti + třídění výkopku + veškeré pomocné konstrukce umožňující provedení vykopávky (příjezdy, sjezdy, nájezdy,
lešení, podpěr. konstr., přemostění, zpevněné plochy, zakrytí a pod.) + nezahrnuje uložení zeminy (na skládku, do násypu) ani poplatky za skládku, vykazují se v
položce č.0141**</t>
    </r>
  </si>
  <si>
    <t>předpokládaná doba výstavby 4 měsíce</t>
  </si>
  <si>
    <r>
      <t xml:space="preserve">TRATIVODY KOMPLET Z TRUB Z PLAST HMOT DN DO 150MM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Položka platí pro kompletní konstrukce trativodů a zahrnuje zejména:
- výkop rýhy předepsaného tvaru v dané třídě těžitelnosti, výplň, zásyp trativodu včetně
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
objektu (kapličky) dle VL
- veškerý materiál, výrobky a polotovary, včetně mimostaveništní a vnitrostaveništní dopravy
- nezahrnuje opláštění z geotextilie, fólie</t>
    </r>
  </si>
  <si>
    <r>
      <t xml:space="preserve">SANAČNÍ VRSTVY Z LOMOVÉHO KAMENE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položka zahrnuje zahrnuje dodávku lomového kamen předepsané kvality, včetně
mimostaveništní a vnitrostaveništní dopravy, rozprostření se zhutněním
není-li v zadávací dokumentaci uvedeno jinak, jedná se o nakupovaný materiál</t>
    </r>
  </si>
  <si>
    <r>
      <t xml:space="preserve">ZÁPOROVÉ PAŽENÍ Z KOVU DOČASNÉ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položka zahrnuje opotřebení ocelových zápor, jejich osazení do připravených vrtů včetně
zabetonování konců a obsypu, případně jejich zaberanění a jejich odstranění. Ocelová
převázka se započítá do výsledné hmotnosti.</t>
    </r>
  </si>
  <si>
    <r>
      <t xml:space="preserve">VÝDŘEVA ZÁPOROVÉHO PAŽENÍ DOČASNÁ (PLOCHA)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položka zahrnuje osazení pažin bez ohledu na druh, jejich opotřebení a jejich odstranění</t>
    </r>
  </si>
  <si>
    <r>
      <t xml:space="preserve">POLŠTÁŘE POD ZÁKLADY Z KAMENIVA TĚŽENÉHO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položka zahrnuje dodávku předepsaného kameniva, mimostaveništní a vnitrostaveništní
dopravu a jeho uložení
není-li v zadávací dokumentaci uvedeno jinak, jedná se o nakupovaný materiál</t>
    </r>
  </si>
  <si>
    <r>
      <t xml:space="preserve">ZÁKLADY Z PROSTÉHO BETONU DO C25/30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- dodání čerstvého betonu (betonové směsi) požadované kvality, jeho uložení do
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proudů,</t>
    </r>
  </si>
  <si>
    <r>
      <t xml:space="preserve">ZDI OPĚRNÉ, ZÁRUBNÍ, NÁBŘEŽNÍ Z PROSTÉHO BETONU DO C25/30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 dodání čerstvého betonu (betonové směsi) požadované kvality, jeho uložení do
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základů,
- úpravy pro osazení zařízení ochrany konstrukce proti vlivu bludných proudů</t>
    </r>
  </si>
  <si>
    <r>
      <t xml:space="preserve">SLOUPKY PLOTOVÉ Z DÍLCŮ KOVOVÝCH DO BETONOVÝCH PATEK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- dodání a osazení předepsaného sloupku včetně PKO
- případnou betonovou patku z předepsané třídy betonu
- nutné zemní práce</t>
    </r>
  </si>
  <si>
    <r>
      <t xml:space="preserve">ZÁBRADLÍ Z DÍLCŮ KOVOVÝCH ŽÁROVĚ ZINK PONOREM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- dílenská dokumentace, včetně technologického předpisu spojování,
- dodání materiálu v požadované kvalitě a výroba konstrukce (včetně pomůcek, přípravků a prostředků pro výrobu) bez ohledu na náročnost a její hmotnost,
- dodání spojovacího materiálu,
- zřízení montážních a dilatačních spojů,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(příp. podlití patních desek) maltou, betonem nebo jinou speciální hmotou, vyplnění jam zeminou,
- veškeré druhy protikorozní ochrany a nátěry konstrukcí,
- zvláštní spojovací prostředky, rozebíratelnost konstrukce,
- ochranná opatření před účinky bludných proudů
- ochranu před přepětím.</t>
    </r>
  </si>
  <si>
    <r>
      <t xml:space="preserve">MOSTNÍ KONSTRUKCE PŘESÝPANÉ Z VLNITÝCH PLECHŮ, OBVOD 10M-12M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Položka zahrnuje dodání, montáž, osazení konstrukce z vlnitého plechu bez ohledu na tvar a
na typ vlny, předepsanou protikorozní ochranu, spojovací materiál, mimostaveništní a
vnitrostaveništní dopravu
nezahrnuje zemní práce, podkladní konstrukce a izolaci</t>
    </r>
  </si>
  <si>
    <r>
      <t xml:space="preserve">VÝPLŇ VRSTVY Z KAMENIVA DRCENÉHO, INDEX ZHUTNĚNÍ ID DO 0,9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položka zahrnuje dodávku předepsaného kameniva, mimostaveništní a vnitrostaveništní
dopravu a jeho uložení
není-li v zadávací dokumentaci uvedeno jinak, jedná se o nakupovaný materiál</t>
    </r>
  </si>
  <si>
    <r>
      <t xml:space="preserve">PATKY Z PROSTÉHO BETONU C16/20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položka zahrnuje:
- nutné zemní práce (hloubení rýh a pod.)
- dodání čerstvého betonu (betonové směsi) požadované kvality, jeho uložení do
požadovaného tvaru při jakékoliv konzistenci čerstvého betonu a způsobu hutnění, ošetření a
ochranu betonu,
- zhotovení nepropustného, mrazuvzdorného betonu a betonu požadované trvanlivosti a
vlastností,
- užití potřebných přísad a technologií výroby betonu,
- zřízení pracovních a dilatačních spar, včetně potřebných úprav, výplně, vložek, opracování,
očištění a ošetření,
- bednění požadovaných konstr. (i ztracené) s úpravou dle požadované kvality povrchu
betonu, včetně odbedňovacích a odskružovacích prostředků,
- zřízení všech požadovaných otvorů, kapes, výklenků, prostupů, dutin, drážek a pod., vč.
ztížení práce a úprav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
zeminou nebo kamenivem</t>
    </r>
  </si>
  <si>
    <r>
      <t xml:space="preserve">POHOZ DNA A SVAHŮ Z LOMOVÉHO KAMENE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položka zahrnuje dodávku předepsaného kamene, mimostaveništní a vnitrostaveništní
dopravu a jeho uložení
není-li v zadávací dokumentaci uvedeno jinak, jedná se o nakupovaný materiál</t>
    </r>
  </si>
  <si>
    <r>
      <t xml:space="preserve">DLAŽBY Z LOMOVÉHO KAMENE NA MC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  </r>
  </si>
  <si>
    <r>
      <t xml:space="preserve">STUPNĚ A PRAHY VODNÍCH KORYT Z PROSTÉHO BETONU C25/30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položka zahrnuje:
- nutné zemní práce (hloubení rýh apod.)
- dodání čerstvého betonu (betonové směsi) požadované kvality, jeho uložení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podpěrné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všech požadovaných otvorů, kapes, výklenků, prostupů, dutin, drážek a pod., vč. ztížení práce a úprav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kamenivem,
- případné zřízení spojovací vrstvy u základů</t>
    </r>
  </si>
  <si>
    <r>
      <t xml:space="preserve">VOZOVKOVÉ VRSTVY Z MECHANICKY ZPEVNĚNÉHO KAMENIVA TL. DO 150MM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- dodání kameniva předepsané kvality a zrnitosti
- rozprostření a zhutnění vrstvy v předepsané tloušťce
- zřízení vrstvy bez rozlišení šířky, pokládání vrstvy po etapách
- nezahrnuje postřiky, nátěry</t>
    </r>
  </si>
  <si>
    <r>
      <t xml:space="preserve">VOZOVKOVÉ VRSTVY ZE ŠTĚRKOPÍSKU TL. DO 150MM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- dodání kameniva předepsané kvality a zrnitosti
- rozprostření a zhutnění vrstvy v předepsané tloušťce
- zřízení vrstvy bez rozlišení šířky, pokládání vrstvy po etapách
- nezahrnuje postřiky, nátěry</t>
    </r>
  </si>
  <si>
    <r>
      <t xml:space="preserve">INFILTRAČNÍ POSTŘIK ASFALTOVÝ DO 1,0KG/M2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- dodání všech předepsaných materiálů pro postřiky v předepsaném množství
- provedení dle předepsaného technologického předpisu
- zřízení vrstvy bez rozlišení šířky, pokládání vrstvy po etapách
- úpravu napojení, ukončení</t>
    </r>
  </si>
  <si>
    <t>574A04</t>
  </si>
  <si>
    <r>
      <t xml:space="preserve">ASFALTOVÝ BETON PRO OBRUSNÉ VRSTVY ACO 11+, 11S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- dodání směsi v požadované kvalitě
- očištění podkladu
- uložení směsi dle předepsaného technologického předpisu, zhutnění vrstvy v předepsané
tloušťce
- zřízení vrstvy bez rozlišení šířky, pokládání vrstvy po etapách, včetně pracovních spar a
spojů
- úpravu napojení, ukončení podél obrubníků, dilatačních zařízení, odvodňovacích proužků,
odvodňovačů, vpustí, šachet a pod.
- nezahrnuje postřiky, nátěry
- nezahrnuje těsnění podél obrubníků, dilatačních zařízení, odvodňovacích proužků,
odvodňovačů, vpustí, šachet a pod.</t>
    </r>
  </si>
  <si>
    <r>
      <t xml:space="preserve">ASFALTOVÝ BETON PRO LOŽNÍ VRSTVY ACL 16+, 16S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- dodání směsi v požadované kvalitě
- očištění podkladu
- uložení směsi dle předepsaného technologického předpisu, zhutnění vrstvy v předepsané
tloušťce
- zřízení vrstvy bez rozlišení šířky, pokládání vrstvy po etapách, včetně pracovních spar a
spojů
- úpravu napojení, ukončení podél obrubníků, dilatačních zařízení, odvodňovacích proužků,
odvodňovačů, vpustí, šachet a pod.
- nezahrnuje postřiky, nátěry
- nezahrnuje těsnění podél obrubníků, dilatačních zařízení, odvodňovacích proužků,
odvodňovačů, vpustí, šachet a pod.</t>
    </r>
  </si>
  <si>
    <r>
      <t xml:space="preserve">ASFALTOVÝ BETON PRO PODKLADNÍ VRSTVY ACP 16+, 16S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- dodání směsi v požadované kvalitě
- očištění podkladu
- uložení směsi dle předepsaného technologického předpisu, zhutnění vrstvy v předepsané
tloušťce
- zřízení vrstvy bez rozlišení šířky, pokládání vrstvy po etapách, včetně pracovních spar a
spojů
- úpravu napojení, ukončení podél obrubníků, dilatačních zařízení, odvodňovacích proužků,
odvodňovačů, vpustí, šachet a pod.
- nezahrnuje postřiky, nátěry
- nezahrnuje těsnění podél obrubníků, dilatačních zařízení, odvodňovacích proužků,
odvodňovačů, vpustí, šachet a pod.</t>
    </r>
  </si>
  <si>
    <r>
      <t xml:space="preserve">IZOLACE BĚŽNÝCH KONSTRUKCÍ PROTI ZEMNÍ VLHKOSTI ASFALTOVÝMI NÁTĚRY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položka zahrnuje:
- dodání předepsaného izolačního materiálu
- očištění a ošetření podkladu, zadávací dokumentace může zahrnout i případné vyspravení
- zřízení izolace jako kompletního povlaku, případně komplet. soustavy nebo systému podle
příslušného technolog. předpisu
- zřízení izolace i jednotlivých vrstev po etapách, včetně pracovních spár a spojů
- úprava u okrajů, rohů, hran, dilatačních i pracovních spojů, kotev, obrubníků, dilatačních
zařízení, odvodnění, otvorů, neizolovaných míst a pod.
- zajištění odvodnění povrchu izolace, včetně odvodnění nejnižších míst, pokud dokumentace
pro zadání stavby nestanoví jinak
- ochrana izolace do doby zřízení definitivní ochranné vrstvy nebo konstrukce
- úprava, očištění a ošetření prostoru kolem izolace
- provedení požadovaných zkoušek
- nezahrnuje ochranné vrstvy, např. geotextilii</t>
    </r>
  </si>
  <si>
    <r>
      <t xml:space="preserve">IZOLACE BĚŽN KONSTR PROTI VOL STÉK VODĚ Z PE FÓLIÍ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položka zahrnuje:
- dodání předepsaného izolačního materiálu
- očištění a ošetření podkladu, zadávací dokumentace může zahrnout i případné vyspravení
- zřízení izolace jako kompletního povlaku, případně komplet. soustavy nebo systému podle
příslušného technolog. předpisu
- zřízení izolace i jednotlivých vrstev po etapách, včetně pracovních spár a spojů
- úprava u okrajů, rohů, hran, dilatačních i pracovních spojů, kotev, obrubníků, dilatačních
zařízení, odvodnění, otvorů, neizolovaných míst a pod.
- zajištění odvodnění povrchu izolace, včetně odvodnění nejnižších míst, pokud dokumentace
pro zadání stavby nestanoví jinak
- ochrana izolace do doby zřízení definitivní ochranné vrstvy nebo konstrukce
- úprava, očištění a ošetření prostoru kolem izolace
- provedení požadovaných zkoušek
- nezahrnuje ochranné vrstvy, např. geotextilii</t>
    </r>
  </si>
  <si>
    <r>
      <t xml:space="preserve">OCHRANA IZOLACE NA POVRCHU TEXTILIÍ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položka zahrnuje:
- dodání předepsaného ochranného materiálu
- zřízení ochrany izolace</t>
    </r>
  </si>
  <si>
    <r>
      <t xml:space="preserve">OPLOCENÍ Z DRÁTĚNÉHO PLETIVA POZINKOVANÉHO STANDARDNÍHO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- položka zahrnuje vedle vlastního pletiva i rámy, rošty, lišty, kování, podpěrné, závěsné,
upevňovací prvky, spojovací a těsnící materiál, pomocný materiál, kompletní povrchovou
úpravu.
- nejsou zahrnuty sloupky a vzpěry, které se vykazují v samostatných položkách 338**, není
zahrnuta podezdívka (272**)
- součástí položky je případně i ostnatý drát, uvažovaná plocha se pak vypočítává po horní
hranu drátu.</t>
    </r>
  </si>
  <si>
    <r>
      <t xml:space="preserve">VRATA A VRÁTKA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- položka zahrnuje vedle vlastních vrat a vrátek i rámy, rošty, lišty, kování, podpěrné,
závěsné, upevňovací prvky, spojovací a těsnící materiál, pomocný materiál, kompletní
povrchovou úpravu, jsou zahrnuty i sloupky včetně kotvení, základové patky a nutných
zemních prací.
- je zahrnuto drobné zasklení nebo jiná předepsaná výplň.
- součástí položky je případně i ostnatý drát, uvažovaná plocha se pak vypočítává po horní
hranu drátu.</t>
    </r>
  </si>
  <si>
    <r>
      <t xml:space="preserve">NIVELAČNÍ ZNAČKY KOVOVÉ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položka zahrnuje:
- dodání a osazení nivelační značky včetně nutných zemních prací
- vnitrostaveništní a mimostaveništní dopravu</t>
    </r>
  </si>
  <si>
    <r>
      <t xml:space="preserve">EVIDENČNÍ ČÍSLO MOSTU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položka zahrnuje štítek s evidenčním číslem mostu, sloupek dopravní značky včetně osazení
a nutných zemních prací a zabetonování</t>
    </r>
  </si>
  <si>
    <r>
      <t xml:space="preserve">PROVIZORNÍ OBJÍŽĎKY - ZŘÍZENÍ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náklady spojené s objednatelem požadovanými zařízeními</t>
    </r>
  </si>
  <si>
    <r>
      <t xml:space="preserve">PROVIZORNÍ OBJÍŽĎKY - ZRUŠENÍ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náklady spojené s objednatelem požadovanými zařízeními</t>
    </r>
  </si>
  <si>
    <r>
      <t xml:space="preserve">PROVIZORNÍ PŘÍSTUPOVÉ CESTY - ZŘÍZENÍ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zahrnuje veškeré náklady spojené s objednatelem požadovanými zařízeními</t>
    </r>
  </si>
  <si>
    <r>
      <t xml:space="preserve">PROVIZORNÍ PŘÍSTUPOVÉ CESTY - ZRUŠENÍ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náklady spojené s objednatelem požadovanými zařízeními</t>
    </r>
  </si>
  <si>
    <r>
      <t xml:space="preserve">PROVIZORNÍ LÁVKY - MONTÁŽ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zahrnuje veškeré náklady spojené s objednatelem požadovanými zařízeními</t>
    </r>
  </si>
  <si>
    <r>
      <t xml:space="preserve">PROVIZORNÍ LÁVKY - NÁJEMNÉ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zahrnuje veškeré náklady spojené s objednatelem požadovanými zařízeními</t>
    </r>
  </si>
  <si>
    <r>
      <rPr>
        <b/>
        <sz val="11"/>
        <color theme="1"/>
        <rFont val="Calibri"/>
        <family val="2"/>
        <charset val="238"/>
        <scheme val="minor"/>
      </rPr>
      <t>PROVIZORNÍ LÁVKY - DEMONTÁŽ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zahrnuje veškeré náklady spojené s objednatelem požadovanými zařízeními</t>
    </r>
  </si>
  <si>
    <r>
      <rPr>
        <b/>
        <sz val="11"/>
        <color theme="1"/>
        <rFont val="Calibri"/>
        <family val="2"/>
        <charset val="238"/>
        <scheme val="minor"/>
      </rPr>
      <t xml:space="preserve">OSTATNÍ POŽADAVKY - VYPRACOVÁNÍ RDS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zahrnuje veškeré náklady spojené s objednatelem požadovanými pracemi</t>
    </r>
  </si>
  <si>
    <r>
      <t xml:space="preserve">OSTAT POŽADAVKY - GEOMETRICKÝ PLÁN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položka zahrnuje: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  </r>
  </si>
  <si>
    <r>
      <t xml:space="preserve">OSTATNÍ POŽADAVKY - HLAVNÍ MOSTNÍ PROHLÍDKA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položka zahrnuje :
- úkony dle ČSN 73 6221
- provedení hlavní mostní prohlídky oprávněnou fyzickou nebo právnickou osobou
- vyhotovení záznamu (protokolu), který jednoznačně definuje stav mostu</t>
    </r>
  </si>
  <si>
    <t>oprava oplocení rodinného domku</t>
  </si>
  <si>
    <t>35kg/m'</t>
  </si>
  <si>
    <t>zídka pod  opravovaným plotem rodinného domu</t>
  </si>
  <si>
    <t>mimo krajnic zpevněnýcch dlažbou</t>
  </si>
  <si>
    <t>zpět u dočasných záborů a na zemním tělese mimo dlažby</t>
  </si>
  <si>
    <t>náhrada za pokácené stromy</t>
  </si>
  <si>
    <t>15 sloupků HEB 120, dl.2,5m pro obtok</t>
  </si>
  <si>
    <t>zdi u vtoku a výtoku</t>
  </si>
  <si>
    <t>sloupky a' 3m pro opravu oplocení rodinného doms</t>
  </si>
  <si>
    <t>střední délka tubusu</t>
  </si>
  <si>
    <t>ukončovací prahy úpravy koryta</t>
  </si>
  <si>
    <t>izolace objektu pod vozovkou</t>
  </si>
  <si>
    <t>pod podsypem objektu, pod izolaci a pod vozovkou</t>
  </si>
  <si>
    <t>ruby opěrných zídek,                                 1x APL, 1x ALN</t>
  </si>
  <si>
    <t>klenba a opěry stávajícího mostu</t>
  </si>
  <si>
    <r>
      <t xml:space="preserve">BOURÁNÍ KONSTRUKCÍ Z KAMENE NA SUCHO S ODVOZEM DO 12KM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položka zahrnuje:
- rozbourání konstrukce bez ohledu na použitou technologii
- veškeré pomocné konstrukce (lešení a pod.)
- veškerou manipulaci s vybouranou sutí a hmotami včetně uložení na skládku.                                              Nezahrnuje
poplatek za skládku, který se vykazuje v položce 0141** (s výjimkou malého množství
bouraného materiálu, kde je možné poplatek zahrnout do jednotkové ceny bourání – tento
fakt musí být uveden v doplňujícím textu k položce)
- veškeré další práce plynoucí z technologického předpisu a z platných předpisů</t>
    </r>
  </si>
  <si>
    <r>
      <t xml:space="preserve">BOURÁNÍ KONSTRUKCÍ Z KAMENE NA MC S ODVOZEM DO 12KM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položka zahrnuje:
- rozbourání konstrukce bez ohledu na použitou technologii
- veškeré pomocné konstrukce (lešení a pod.)                                                                                                                 
- veškerou manipulaci s vybouranou sutí a hmotami včetně uložení na skládku                                                     - veškeré další práce plynoucí z technologického předpisu a z platných předpisů                                               Nezahrnuje
poplatek za skládku, který se vykazuje v položce 0141** (s výjimkou malého množství
bouraného materiálu, kde je možné poplatek zahrnout do jednotkové ceny bourání – tento
fakt musí být uveden v doplňujícím textu k položce)
</t>
    </r>
  </si>
  <si>
    <r>
      <t xml:space="preserve">BOURÁNÍ KONSTRUKCÍ Z PROST BETONU S ODVOZEM DO 12KM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položka zahrnuje:
- rozbourání konstrukce bez ohledu na použitou technologii
- veškeré pomocné konstrukce (lešení a pod.)
- veškerou manipulaci s vybouranou sutí a hmotami včetně uložení na skládku                                                              - veškeré další práce plynoucí z technologického předpisu a z platných předpisů.                                               Nezahrnuje
poplatek za skládku, který se vykazuje v položce 0141** (s výjimkou malého množství
bouraného materiálu, kde je možné poplatek zahrnout do jednotkové ceny bourání – tento
fakt musí být uveden v doplňujícím textu k položce)
</t>
    </r>
  </si>
  <si>
    <t>dvě vrstvy na izolaci a ruby opěrných zídek (2x pol.č.57 + pol.č.56)</t>
  </si>
  <si>
    <t>oprava plotu, výška 2m včetně ostantého drátu</t>
  </si>
  <si>
    <r>
      <t xml:space="preserve">VÝPLŇ SPAR MODIFIKOVANÝM ASFALTEM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Technická specifikace položka zahrnuje:                                                                                                                                              - dodávku předepsaného materiálu                                                                                                                                                                                                             - vyčištění a výplň spar tímto materiálem</t>
    </r>
  </si>
  <si>
    <r>
      <t xml:space="preserve">ŘEZÁNÍ ASFALTOVÉHO KRYTU VOZOVEK TL DO 50MM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položka zahrnuje řezání vozovkové vrstvy v předepsané tloušťce, včetně spotřeby vody</t>
    </r>
  </si>
  <si>
    <t>napojení na stávající komunikaci</t>
  </si>
  <si>
    <t>zídka pod stávajícím plotem u rodinného domu</t>
  </si>
  <si>
    <t>zídky u stávajícího mostu</t>
  </si>
  <si>
    <t>REKONSTRUKCE MOSTU PŘES  PERLOVÝ POTOK V OBCI VĚŽ</t>
  </si>
  <si>
    <t>(pol.č.20 + pol.č.23 + pol.č.24 + pol.č.25 + pol.č.26 +  pol.č.64 + pol.č.65 + pol.č.66)*objem.hmot.</t>
  </si>
  <si>
    <t>(pol.č.19 + pol.č.21)*objem.hmot. (obsah dehtu)</t>
  </si>
  <si>
    <t xml:space="preserve">pol.č.23 + pol.č.24 + pol.č.25 + pol.č.26 </t>
  </si>
  <si>
    <t>viz položka č.31</t>
  </si>
  <si>
    <t>zídka pod plotem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</si>
</sst>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165" fontId="0" fillId="0" borderId="11" xfId="0" applyNumberFormat="1" applyBorder="1"/>
    <xf numFmtId="0" fontId="0" fillId="0" borderId="11" xfId="0" applyBorder="1" applyAlignment="1">
      <alignment horizontal="center"/>
    </xf>
    <xf numFmtId="164" fontId="0" fillId="0" borderId="11" xfId="0" applyNumberFormat="1" applyBorder="1"/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left"/>
    </xf>
    <xf numFmtId="16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/>
    <xf numFmtId="0" fontId="1" fillId="0" borderId="1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164" fontId="0" fillId="0" borderId="2" xfId="0" applyNumberFormat="1" applyBorder="1" applyAlignment="1">
      <alignment vertical="top"/>
    </xf>
    <xf numFmtId="0" fontId="0" fillId="0" borderId="3" xfId="0" applyBorder="1" applyAlignment="1">
      <alignment horizontal="left" vertical="top" wrapText="1"/>
    </xf>
    <xf numFmtId="165" fontId="0" fillId="0" borderId="2" xfId="0" applyNumberFormat="1" applyBorder="1" applyAlignment="1">
      <alignment vertical="top"/>
    </xf>
    <xf numFmtId="9" fontId="0" fillId="0" borderId="3" xfId="0" applyNumberForma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wrapText="1"/>
    </xf>
    <xf numFmtId="164" fontId="0" fillId="0" borderId="2" xfId="0" applyNumberFormat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5" fontId="0" fillId="0" borderId="2" xfId="0" applyNumberFormat="1" applyBorder="1" applyAlignment="1" applyProtection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2</xdr:row>
      <xdr:rowOff>31775</xdr:rowOff>
    </xdr:from>
    <xdr:to>
      <xdr:col>5</xdr:col>
      <xdr:colOff>571500</xdr:colOff>
      <xdr:row>3</xdr:row>
      <xdr:rowOff>409509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72BB834-A34A-4309-BD26-055F3BEBA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460400"/>
          <a:ext cx="1571625" cy="615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4"/>
  <sheetViews>
    <sheetView tabSelected="1" topLeftCell="A31" zoomScaleNormal="100" workbookViewId="0">
      <selection activeCell="E49" sqref="E49"/>
    </sheetView>
  </sheetViews>
  <sheetFormatPr defaultRowHeight="15" x14ac:dyDescent="0.25"/>
  <cols>
    <col min="1" max="1" width="9.140625" style="4"/>
    <col min="2" max="2" width="14.7109375" style="1" customWidth="1"/>
    <col min="3" max="3" width="88.85546875" style="6" customWidth="1"/>
    <col min="4" max="4" width="24" style="6" customWidth="1"/>
    <col min="5" max="5" width="8.85546875" bestFit="1" customWidth="1"/>
    <col min="6" max="6" width="9.140625" style="4"/>
    <col min="7" max="7" width="12.42578125" bestFit="1" customWidth="1"/>
    <col min="8" max="8" width="16" style="3" bestFit="1" customWidth="1"/>
    <col min="9" max="9" width="23.42578125" style="7" customWidth="1"/>
  </cols>
  <sheetData>
    <row r="1" spans="1:9" ht="18.75" x14ac:dyDescent="0.3">
      <c r="A1" s="21" t="s">
        <v>210</v>
      </c>
    </row>
    <row r="3" spans="1:9" ht="18.75" x14ac:dyDescent="0.3">
      <c r="A3" s="21" t="s">
        <v>118</v>
      </c>
    </row>
    <row r="4" spans="1:9" ht="52.5" customHeight="1" thickBot="1" x14ac:dyDescent="0.3"/>
    <row r="5" spans="1:9" ht="36.75" customHeight="1" thickBot="1" x14ac:dyDescent="0.3">
      <c r="A5" s="9" t="s">
        <v>6</v>
      </c>
      <c r="B5" s="10" t="s">
        <v>0</v>
      </c>
      <c r="C5" s="11" t="s">
        <v>1</v>
      </c>
      <c r="D5" s="11" t="s">
        <v>4</v>
      </c>
      <c r="E5" s="11" t="s">
        <v>5</v>
      </c>
      <c r="F5" s="11" t="s">
        <v>2</v>
      </c>
      <c r="G5" s="11" t="s">
        <v>3</v>
      </c>
      <c r="H5" s="12" t="s">
        <v>103</v>
      </c>
      <c r="I5" s="13" t="s">
        <v>13</v>
      </c>
    </row>
    <row r="6" spans="1:9" ht="15.75" thickTop="1" x14ac:dyDescent="0.25">
      <c r="A6" s="47" t="s">
        <v>65</v>
      </c>
      <c r="B6" s="48"/>
      <c r="C6" s="48"/>
      <c r="D6" s="48"/>
      <c r="E6" s="48"/>
      <c r="F6" s="48"/>
      <c r="G6" s="48"/>
      <c r="H6" s="48"/>
      <c r="I6" s="49"/>
    </row>
    <row r="7" spans="1:9" ht="75" x14ac:dyDescent="0.25">
      <c r="A7" s="26">
        <v>1</v>
      </c>
      <c r="B7" s="27" t="s">
        <v>7</v>
      </c>
      <c r="C7" s="29" t="s">
        <v>121</v>
      </c>
      <c r="D7" s="31" t="str">
        <f ca="1">_xlfn.FORMULATEXT(E7)</f>
        <v>=20,622*2,2+(48,906+159,925+39,981+2,52)*1,9+(61,5+40,827+7,2)*2,4</v>
      </c>
      <c r="E7" s="60">
        <f>20.622*2.2+(48.906+159.925+39.981+2.52)*1.9+(61.5+40.827+7.2)*2.4</f>
        <v>785.7639999999999</v>
      </c>
      <c r="F7" s="32" t="s">
        <v>27</v>
      </c>
      <c r="G7" s="41"/>
      <c r="H7" s="33">
        <f t="shared" ref="H7:H8" si="0">E7*G7</f>
        <v>0</v>
      </c>
      <c r="I7" s="34" t="s">
        <v>211</v>
      </c>
    </row>
    <row r="8" spans="1:9" ht="45" x14ac:dyDescent="0.25">
      <c r="A8" s="26">
        <f t="shared" ref="A8:A21" si="1">A7+1</f>
        <v>2</v>
      </c>
      <c r="B8" s="28" t="s">
        <v>8</v>
      </c>
      <c r="C8" s="29" t="s">
        <v>122</v>
      </c>
      <c r="D8" s="31" t="str">
        <f t="shared" ref="D8:D81" ca="1" si="2">_xlfn.FORMULATEXT(E8)</f>
        <v>=(4,856+6,506)*2,4</v>
      </c>
      <c r="E8" s="60">
        <f>(4.856+6.506)*2.4</f>
        <v>27.268799999999999</v>
      </c>
      <c r="F8" s="32" t="s">
        <v>27</v>
      </c>
      <c r="G8" s="41"/>
      <c r="H8" s="33">
        <f t="shared" si="0"/>
        <v>0</v>
      </c>
      <c r="I8" s="34" t="s">
        <v>212</v>
      </c>
    </row>
    <row r="9" spans="1:9" ht="30" x14ac:dyDescent="0.25">
      <c r="A9" s="26">
        <f t="shared" si="1"/>
        <v>3</v>
      </c>
      <c r="B9" s="28" t="s">
        <v>9</v>
      </c>
      <c r="C9" s="29" t="s">
        <v>175</v>
      </c>
      <c r="D9" s="31" t="str">
        <f t="shared" ca="1" si="2"/>
        <v>=54*1,2</v>
      </c>
      <c r="E9" s="60">
        <f>54*1.2</f>
        <v>64.8</v>
      </c>
      <c r="F9" s="32" t="s">
        <v>28</v>
      </c>
      <c r="G9" s="41"/>
      <c r="H9" s="33">
        <f>E9*G9</f>
        <v>0</v>
      </c>
      <c r="I9" s="34" t="s">
        <v>104</v>
      </c>
    </row>
    <row r="10" spans="1:9" ht="30" x14ac:dyDescent="0.25">
      <c r="A10" s="26">
        <f t="shared" si="1"/>
        <v>4</v>
      </c>
      <c r="B10" s="28" t="s">
        <v>10</v>
      </c>
      <c r="C10" s="29" t="s">
        <v>176</v>
      </c>
      <c r="D10" s="31" t="s">
        <v>84</v>
      </c>
      <c r="E10" s="60">
        <f>E9</f>
        <v>64.8</v>
      </c>
      <c r="F10" s="32" t="s">
        <v>28</v>
      </c>
      <c r="G10" s="41"/>
      <c r="H10" s="33">
        <f t="shared" ref="H10:H13" si="3">E10*G10</f>
        <v>0</v>
      </c>
      <c r="I10" s="34" t="s">
        <v>104</v>
      </c>
    </row>
    <row r="11" spans="1:9" ht="30" x14ac:dyDescent="0.25">
      <c r="A11" s="26">
        <f t="shared" si="1"/>
        <v>5</v>
      </c>
      <c r="B11" s="28" t="s">
        <v>11</v>
      </c>
      <c r="C11" s="29" t="s">
        <v>177</v>
      </c>
      <c r="D11" s="31" t="str">
        <f t="shared" ca="1" si="2"/>
        <v>=21,4</v>
      </c>
      <c r="E11" s="60">
        <f>21.4</f>
        <v>21.4</v>
      </c>
      <c r="F11" s="32" t="s">
        <v>28</v>
      </c>
      <c r="G11" s="41"/>
      <c r="H11" s="33">
        <f t="shared" si="3"/>
        <v>0</v>
      </c>
      <c r="I11" s="34" t="s">
        <v>104</v>
      </c>
    </row>
    <row r="12" spans="1:9" ht="30" x14ac:dyDescent="0.25">
      <c r="A12" s="26">
        <f t="shared" si="1"/>
        <v>6</v>
      </c>
      <c r="B12" s="28" t="s">
        <v>12</v>
      </c>
      <c r="C12" s="29" t="s">
        <v>178</v>
      </c>
      <c r="D12" s="31" t="str">
        <f t="shared" ca="1" si="2"/>
        <v>=21,4</v>
      </c>
      <c r="E12" s="60">
        <f>21.4</f>
        <v>21.4</v>
      </c>
      <c r="F12" s="32" t="s">
        <v>28</v>
      </c>
      <c r="G12" s="41"/>
      <c r="H12" s="33">
        <f t="shared" si="3"/>
        <v>0</v>
      </c>
      <c r="I12" s="34" t="s">
        <v>105</v>
      </c>
    </row>
    <row r="13" spans="1:9" ht="30" x14ac:dyDescent="0.25">
      <c r="A13" s="26">
        <f t="shared" si="1"/>
        <v>7</v>
      </c>
      <c r="B13" s="28" t="s">
        <v>15</v>
      </c>
      <c r="C13" s="29" t="s">
        <v>179</v>
      </c>
      <c r="D13" s="31" t="str">
        <f t="shared" ca="1" si="2"/>
        <v>=6*1,2</v>
      </c>
      <c r="E13" s="60">
        <f>6*1.2</f>
        <v>7.1999999999999993</v>
      </c>
      <c r="F13" s="32" t="s">
        <v>28</v>
      </c>
      <c r="G13" s="41"/>
      <c r="H13" s="33">
        <f t="shared" si="3"/>
        <v>0</v>
      </c>
      <c r="I13" s="34" t="s">
        <v>104</v>
      </c>
    </row>
    <row r="14" spans="1:9" ht="30" x14ac:dyDescent="0.25">
      <c r="A14" s="26">
        <f t="shared" si="1"/>
        <v>8</v>
      </c>
      <c r="B14" s="28" t="s">
        <v>16</v>
      </c>
      <c r="C14" s="29" t="s">
        <v>180</v>
      </c>
      <c r="D14" s="31" t="str">
        <f t="shared" ca="1" si="2"/>
        <v>=4</v>
      </c>
      <c r="E14" s="60">
        <f>4</f>
        <v>4</v>
      </c>
      <c r="F14" s="32" t="s">
        <v>14</v>
      </c>
      <c r="G14" s="41"/>
      <c r="H14" s="33">
        <f>E14*G14</f>
        <v>0</v>
      </c>
      <c r="I14" s="34" t="s">
        <v>145</v>
      </c>
    </row>
    <row r="15" spans="1:9" ht="30" x14ac:dyDescent="0.25">
      <c r="A15" s="26">
        <f t="shared" si="1"/>
        <v>9</v>
      </c>
      <c r="B15" s="28" t="s">
        <v>17</v>
      </c>
      <c r="C15" s="30" t="s">
        <v>181</v>
      </c>
      <c r="D15" s="31" t="str">
        <f t="shared" ca="1" si="2"/>
        <v>=6*1,2</v>
      </c>
      <c r="E15" s="60">
        <f>6*1.2</f>
        <v>7.1999999999999993</v>
      </c>
      <c r="F15" s="32" t="s">
        <v>28</v>
      </c>
      <c r="G15" s="41"/>
      <c r="H15" s="33">
        <f>E15*G15</f>
        <v>0</v>
      </c>
      <c r="I15" s="34" t="s">
        <v>104</v>
      </c>
    </row>
    <row r="16" spans="1:9" ht="60" x14ac:dyDescent="0.25">
      <c r="A16" s="26">
        <f t="shared" si="1"/>
        <v>10</v>
      </c>
      <c r="B16" s="28" t="s">
        <v>18</v>
      </c>
      <c r="C16" s="29" t="s">
        <v>123</v>
      </c>
      <c r="D16" s="31" t="str">
        <f t="shared" ca="1" si="2"/>
        <v>=1</v>
      </c>
      <c r="E16" s="60">
        <f>1</f>
        <v>1</v>
      </c>
      <c r="F16" s="32" t="s">
        <v>19</v>
      </c>
      <c r="G16" s="41"/>
      <c r="H16" s="33">
        <f t="shared" ref="H16:H21" si="4">E16*G16</f>
        <v>0</v>
      </c>
      <c r="I16" s="36"/>
    </row>
    <row r="17" spans="1:9" ht="30" x14ac:dyDescent="0.25">
      <c r="A17" s="26">
        <f t="shared" si="1"/>
        <v>11</v>
      </c>
      <c r="B17" s="28" t="s">
        <v>20</v>
      </c>
      <c r="C17" s="29" t="s">
        <v>124</v>
      </c>
      <c r="D17" s="31" t="str">
        <f t="shared" ca="1" si="2"/>
        <v>=1</v>
      </c>
      <c r="E17" s="60">
        <f>1</f>
        <v>1</v>
      </c>
      <c r="F17" s="32" t="s">
        <v>26</v>
      </c>
      <c r="G17" s="41"/>
      <c r="H17" s="33">
        <f t="shared" si="4"/>
        <v>0</v>
      </c>
      <c r="I17" s="34"/>
    </row>
    <row r="18" spans="1:9" ht="30" x14ac:dyDescent="0.25">
      <c r="A18" s="26">
        <f t="shared" si="1"/>
        <v>12</v>
      </c>
      <c r="B18" s="28" t="s">
        <v>21</v>
      </c>
      <c r="C18" s="30" t="s">
        <v>182</v>
      </c>
      <c r="D18" s="31" t="str">
        <f t="shared" ca="1" si="2"/>
        <v>=1</v>
      </c>
      <c r="E18" s="60">
        <f>1</f>
        <v>1</v>
      </c>
      <c r="F18" s="32" t="s">
        <v>22</v>
      </c>
      <c r="G18" s="41"/>
      <c r="H18" s="33">
        <f t="shared" si="4"/>
        <v>0</v>
      </c>
      <c r="I18" s="36"/>
    </row>
    <row r="19" spans="1:9" ht="105" x14ac:dyDescent="0.25">
      <c r="A19" s="26">
        <f t="shared" si="1"/>
        <v>13</v>
      </c>
      <c r="B19" s="28" t="s">
        <v>23</v>
      </c>
      <c r="C19" s="29" t="s">
        <v>183</v>
      </c>
      <c r="D19" s="31" t="str">
        <f ca="1">_xlfn.FORMULATEXT(E19)</f>
        <v>=0,32</v>
      </c>
      <c r="E19" s="60">
        <f>0.32</f>
        <v>0.32</v>
      </c>
      <c r="F19" s="32" t="s">
        <v>24</v>
      </c>
      <c r="G19" s="41"/>
      <c r="H19" s="33">
        <f t="shared" si="4"/>
        <v>0</v>
      </c>
      <c r="I19" s="34"/>
    </row>
    <row r="20" spans="1:9" ht="75" x14ac:dyDescent="0.25">
      <c r="A20" s="26">
        <f t="shared" si="1"/>
        <v>14</v>
      </c>
      <c r="B20" s="28" t="s">
        <v>25</v>
      </c>
      <c r="C20" s="29" t="s">
        <v>184</v>
      </c>
      <c r="D20" s="31" t="str">
        <f t="shared" ca="1" si="2"/>
        <v>=1</v>
      </c>
      <c r="E20" s="60">
        <f>1</f>
        <v>1</v>
      </c>
      <c r="F20" s="32" t="s">
        <v>26</v>
      </c>
      <c r="G20" s="41"/>
      <c r="H20" s="33">
        <f t="shared" si="4"/>
        <v>0</v>
      </c>
      <c r="I20" s="34"/>
    </row>
    <row r="21" spans="1:9" ht="45" x14ac:dyDescent="0.25">
      <c r="A21" s="26">
        <f t="shared" si="1"/>
        <v>15</v>
      </c>
      <c r="B21" s="28" t="s">
        <v>29</v>
      </c>
      <c r="C21" s="29" t="s">
        <v>125</v>
      </c>
      <c r="D21" s="31" t="str">
        <f t="shared" ca="1" si="2"/>
        <v>=1</v>
      </c>
      <c r="E21" s="60">
        <f>1</f>
        <v>1</v>
      </c>
      <c r="F21" s="32" t="s">
        <v>22</v>
      </c>
      <c r="G21" s="41"/>
      <c r="H21" s="33">
        <f t="shared" si="4"/>
        <v>0</v>
      </c>
      <c r="I21" s="34"/>
    </row>
    <row r="22" spans="1:9" ht="15.75" x14ac:dyDescent="0.25">
      <c r="A22" s="42" t="s">
        <v>85</v>
      </c>
      <c r="B22" s="43"/>
      <c r="C22" s="43"/>
      <c r="D22" s="43"/>
      <c r="E22" s="43"/>
      <c r="F22" s="43"/>
      <c r="G22" s="22"/>
      <c r="H22" s="22">
        <f>SUM(H7:H21)</f>
        <v>0</v>
      </c>
      <c r="I22" s="8"/>
    </row>
    <row r="23" spans="1:9" x14ac:dyDescent="0.25">
      <c r="A23" s="14"/>
      <c r="B23" s="15"/>
      <c r="C23" s="16"/>
      <c r="D23" s="16"/>
      <c r="E23" s="17"/>
      <c r="F23" s="18"/>
      <c r="G23" s="19"/>
      <c r="H23" s="19"/>
      <c r="I23" s="20"/>
    </row>
    <row r="24" spans="1:9" s="5" customFormat="1" x14ac:dyDescent="0.25">
      <c r="A24" s="44" t="s">
        <v>30</v>
      </c>
      <c r="B24" s="45"/>
      <c r="C24" s="45"/>
      <c r="D24" s="45"/>
      <c r="E24" s="45"/>
      <c r="F24" s="45"/>
      <c r="G24" s="45"/>
      <c r="H24" s="45"/>
      <c r="I24" s="46"/>
    </row>
    <row r="25" spans="1:9" ht="60" x14ac:dyDescent="0.25">
      <c r="A25" s="26">
        <f>A21+1</f>
        <v>16</v>
      </c>
      <c r="B25" s="28" t="s">
        <v>31</v>
      </c>
      <c r="C25" s="29" t="s">
        <v>143</v>
      </c>
      <c r="D25" s="31" t="str">
        <f t="shared" ca="1" si="2"/>
        <v>=(31+46)*0,15</v>
      </c>
      <c r="E25" s="35">
        <f>(31+46)*0.15</f>
        <v>11.549999999999999</v>
      </c>
      <c r="F25" s="32" t="s">
        <v>28</v>
      </c>
      <c r="G25" s="41"/>
      <c r="H25" s="33">
        <f t="shared" ref="H25:H42" si="5">E25*G25</f>
        <v>0</v>
      </c>
      <c r="I25" s="34" t="s">
        <v>80</v>
      </c>
    </row>
    <row r="26" spans="1:9" ht="30" x14ac:dyDescent="0.25">
      <c r="A26" s="26">
        <f>A25+1</f>
        <v>17</v>
      </c>
      <c r="B26" s="28" t="s">
        <v>32</v>
      </c>
      <c r="C26" s="29" t="s">
        <v>142</v>
      </c>
      <c r="D26" s="31" t="str">
        <f t="shared" ca="1" si="2"/>
        <v>=55,16+14,35+18,65+52,23</v>
      </c>
      <c r="E26" s="35">
        <f>55.16+14.35+18.65+52.23</f>
        <v>140.38999999999999</v>
      </c>
      <c r="F26" s="32" t="s">
        <v>28</v>
      </c>
      <c r="G26" s="41"/>
      <c r="H26" s="33">
        <f t="shared" si="5"/>
        <v>0</v>
      </c>
      <c r="I26" s="34" t="s">
        <v>106</v>
      </c>
    </row>
    <row r="27" spans="1:9" ht="165" x14ac:dyDescent="0.25">
      <c r="A27" s="26">
        <f t="shared" ref="A27:A42" si="6">A26+1</f>
        <v>18</v>
      </c>
      <c r="B27" s="28" t="s">
        <v>33</v>
      </c>
      <c r="C27" s="29" t="s">
        <v>126</v>
      </c>
      <c r="D27" s="31" t="str">
        <f t="shared" ca="1" si="2"/>
        <v>=6</v>
      </c>
      <c r="E27" s="35">
        <f>6</f>
        <v>6</v>
      </c>
      <c r="F27" s="32" t="s">
        <v>26</v>
      </c>
      <c r="G27" s="41"/>
      <c r="H27" s="33">
        <f t="shared" si="5"/>
        <v>0</v>
      </c>
      <c r="I27" s="34" t="s">
        <v>107</v>
      </c>
    </row>
    <row r="28" spans="1:9" ht="75" x14ac:dyDescent="0.25">
      <c r="A28" s="26">
        <f t="shared" si="6"/>
        <v>19</v>
      </c>
      <c r="B28" s="28" t="s">
        <v>34</v>
      </c>
      <c r="C28" s="29" t="s">
        <v>127</v>
      </c>
      <c r="D28" s="31" t="str">
        <f t="shared" ca="1" si="2"/>
        <v>=3,1*31,33*0,05</v>
      </c>
      <c r="E28" s="35">
        <f>3.1*31.33*0.05</f>
        <v>4.8561499999999995</v>
      </c>
      <c r="F28" s="32" t="s">
        <v>35</v>
      </c>
      <c r="G28" s="41"/>
      <c r="H28" s="33">
        <f t="shared" si="5"/>
        <v>0</v>
      </c>
      <c r="I28" s="34" t="s">
        <v>108</v>
      </c>
    </row>
    <row r="29" spans="1:9" ht="75" x14ac:dyDescent="0.25">
      <c r="A29" s="26">
        <f t="shared" si="6"/>
        <v>20</v>
      </c>
      <c r="B29" s="28" t="s">
        <v>36</v>
      </c>
      <c r="C29" s="29" t="s">
        <v>128</v>
      </c>
      <c r="D29" s="31" t="str">
        <f t="shared" ca="1" si="2"/>
        <v>=3,3*(1,73+14,6+4,5)*0,3</v>
      </c>
      <c r="E29" s="35">
        <f>3.3*(1.73+14.6+4.5)*0.3</f>
        <v>20.621699999999997</v>
      </c>
      <c r="F29" s="32" t="s">
        <v>35</v>
      </c>
      <c r="G29" s="41"/>
      <c r="H29" s="33">
        <f t="shared" si="5"/>
        <v>0</v>
      </c>
      <c r="I29" s="34" t="s">
        <v>109</v>
      </c>
    </row>
    <row r="30" spans="1:9" ht="75" x14ac:dyDescent="0.25">
      <c r="A30" s="26">
        <f t="shared" si="6"/>
        <v>21</v>
      </c>
      <c r="B30" s="28" t="s">
        <v>37</v>
      </c>
      <c r="C30" s="29" t="s">
        <v>129</v>
      </c>
      <c r="D30" s="31" t="str">
        <f t="shared" ca="1" si="2"/>
        <v>=3,2*(31,33-11)*0,1</v>
      </c>
      <c r="E30" s="35">
        <f>3.2*(31.33-11)*0.1</f>
        <v>6.5056000000000003</v>
      </c>
      <c r="F30" s="32" t="s">
        <v>35</v>
      </c>
      <c r="G30" s="41"/>
      <c r="H30" s="33">
        <f t="shared" si="5"/>
        <v>0</v>
      </c>
      <c r="I30" s="34" t="s">
        <v>110</v>
      </c>
    </row>
    <row r="31" spans="1:9" ht="60" x14ac:dyDescent="0.25">
      <c r="A31" s="26">
        <f t="shared" si="6"/>
        <v>22</v>
      </c>
      <c r="B31" s="28" t="s">
        <v>38</v>
      </c>
      <c r="C31" s="29" t="s">
        <v>130</v>
      </c>
      <c r="D31" s="31" t="str">
        <f t="shared" ca="1" si="2"/>
        <v>=14+10</v>
      </c>
      <c r="E31" s="35">
        <f>14+10</f>
        <v>24</v>
      </c>
      <c r="F31" s="32" t="s">
        <v>39</v>
      </c>
      <c r="G31" s="41"/>
      <c r="H31" s="33">
        <f t="shared" si="5"/>
        <v>0</v>
      </c>
      <c r="I31" s="34"/>
    </row>
    <row r="32" spans="1:9" ht="319.5" customHeight="1" x14ac:dyDescent="0.25">
      <c r="A32" s="26">
        <f t="shared" si="6"/>
        <v>23</v>
      </c>
      <c r="B32" s="28" t="s">
        <v>40</v>
      </c>
      <c r="C32" s="29" t="s">
        <v>144</v>
      </c>
      <c r="D32" s="31" t="str">
        <f t="shared" ca="1" si="2"/>
        <v>=3,8*12,87</v>
      </c>
      <c r="E32" s="35">
        <f>3.8*12.87</f>
        <v>48.905999999999992</v>
      </c>
      <c r="F32" s="32" t="s">
        <v>35</v>
      </c>
      <c r="G32" s="41"/>
      <c r="H32" s="33">
        <f t="shared" si="5"/>
        <v>0</v>
      </c>
      <c r="I32" s="34"/>
    </row>
    <row r="33" spans="1:9" ht="390" x14ac:dyDescent="0.25">
      <c r="A33" s="26">
        <f t="shared" si="6"/>
        <v>24</v>
      </c>
      <c r="B33" s="28" t="s">
        <v>41</v>
      </c>
      <c r="C33" s="29" t="s">
        <v>131</v>
      </c>
      <c r="D33" s="31" t="str">
        <f t="shared" ca="1" si="2"/>
        <v>=30,52*6,55*0,8</v>
      </c>
      <c r="E33" s="35">
        <f>30.52*6.55*0.8</f>
        <v>159.9248</v>
      </c>
      <c r="F33" s="32" t="s">
        <v>35</v>
      </c>
      <c r="G33" s="41"/>
      <c r="H33" s="33">
        <f t="shared" si="5"/>
        <v>0</v>
      </c>
      <c r="I33" s="36" t="s">
        <v>95</v>
      </c>
    </row>
    <row r="34" spans="1:9" ht="390" x14ac:dyDescent="0.25">
      <c r="A34" s="26">
        <f t="shared" si="6"/>
        <v>25</v>
      </c>
      <c r="B34" s="28" t="s">
        <v>42</v>
      </c>
      <c r="C34" s="29" t="s">
        <v>132</v>
      </c>
      <c r="D34" s="31" t="str">
        <f t="shared" ca="1" si="2"/>
        <v>=30,52*6,55*0,2</v>
      </c>
      <c r="E34" s="35">
        <f>30.52*6.55*0.2</f>
        <v>39.981200000000001</v>
      </c>
      <c r="F34" s="32" t="s">
        <v>35</v>
      </c>
      <c r="G34" s="41"/>
      <c r="H34" s="33">
        <f t="shared" si="5"/>
        <v>0</v>
      </c>
      <c r="I34" s="36" t="s">
        <v>96</v>
      </c>
    </row>
    <row r="35" spans="1:9" ht="390" x14ac:dyDescent="0.25">
      <c r="A35" s="26">
        <f t="shared" si="6"/>
        <v>26</v>
      </c>
      <c r="B35" s="28" t="s">
        <v>82</v>
      </c>
      <c r="C35" s="29" t="s">
        <v>133</v>
      </c>
      <c r="D35" s="31" t="str">
        <f t="shared" ca="1" si="2"/>
        <v>=10,5*0,4*0,6</v>
      </c>
      <c r="E35" s="35">
        <f>10.5*0.4*0.6</f>
        <v>2.52</v>
      </c>
      <c r="F35" s="32" t="s">
        <v>35</v>
      </c>
      <c r="G35" s="41"/>
      <c r="H35" s="33">
        <f t="shared" si="5"/>
        <v>0</v>
      </c>
      <c r="I35" s="36" t="s">
        <v>187</v>
      </c>
    </row>
    <row r="36" spans="1:9" ht="225" x14ac:dyDescent="0.25">
      <c r="A36" s="26">
        <f t="shared" si="6"/>
        <v>27</v>
      </c>
      <c r="B36" s="28" t="s">
        <v>140</v>
      </c>
      <c r="C36" s="30" t="s">
        <v>141</v>
      </c>
      <c r="D36" s="31" t="str">
        <f t="shared" ca="1" si="2"/>
        <v>=48,906+159,925+39,981+2,52</v>
      </c>
      <c r="E36" s="35">
        <f>48.906+159.925+39.981+2.52</f>
        <v>251.33200000000002</v>
      </c>
      <c r="F36" s="32" t="s">
        <v>35</v>
      </c>
      <c r="G36" s="41"/>
      <c r="H36" s="33">
        <f t="shared" si="5"/>
        <v>0</v>
      </c>
      <c r="I36" s="34" t="s">
        <v>213</v>
      </c>
    </row>
    <row r="37" spans="1:9" ht="285" x14ac:dyDescent="0.25">
      <c r="A37" s="26">
        <f t="shared" si="6"/>
        <v>28</v>
      </c>
      <c r="B37" s="28" t="s">
        <v>43</v>
      </c>
      <c r="C37" s="29" t="s">
        <v>134</v>
      </c>
      <c r="D37" s="31" t="str">
        <f t="shared" ca="1" si="2"/>
        <v>=0,173*(2*31,33-5,46-8,725)</v>
      </c>
      <c r="E37" s="35">
        <f>0.173*(2*31.33-5.46-8.725)</f>
        <v>8.3861749999999979</v>
      </c>
      <c r="F37" s="32" t="s">
        <v>35</v>
      </c>
      <c r="G37" s="41"/>
      <c r="H37" s="33">
        <f t="shared" si="5"/>
        <v>0</v>
      </c>
      <c r="I37" s="34" t="s">
        <v>188</v>
      </c>
    </row>
    <row r="38" spans="1:9" ht="345" x14ac:dyDescent="0.25">
      <c r="A38" s="26">
        <f t="shared" si="6"/>
        <v>29</v>
      </c>
      <c r="B38" s="28" t="s">
        <v>44</v>
      </c>
      <c r="C38" s="29" t="s">
        <v>135</v>
      </c>
      <c r="D38" s="31" t="str">
        <f t="shared" ca="1" si="2"/>
        <v>=(32,6-8,26)*7,53</v>
      </c>
      <c r="E38" s="35">
        <f>(32.6-8.26)*7.53</f>
        <v>183.28020000000004</v>
      </c>
      <c r="F38" s="32" t="s">
        <v>35</v>
      </c>
      <c r="G38" s="41"/>
      <c r="H38" s="33">
        <f t="shared" si="5"/>
        <v>0</v>
      </c>
      <c r="I38" s="34" t="s">
        <v>111</v>
      </c>
    </row>
    <row r="39" spans="1:9" ht="45" x14ac:dyDescent="0.25">
      <c r="A39" s="26">
        <f t="shared" si="6"/>
        <v>30</v>
      </c>
      <c r="B39" s="28" t="s">
        <v>45</v>
      </c>
      <c r="C39" s="29" t="s">
        <v>136</v>
      </c>
      <c r="D39" s="31" t="str">
        <f t="shared" ca="1" si="2"/>
        <v>=10,42*4,6+31,55+33*5,25</v>
      </c>
      <c r="E39" s="35">
        <f>10.42*4.6+31.55+33*5.25</f>
        <v>252.732</v>
      </c>
      <c r="F39" s="32" t="s">
        <v>28</v>
      </c>
      <c r="G39" s="41"/>
      <c r="H39" s="33">
        <f t="shared" si="5"/>
        <v>0</v>
      </c>
      <c r="I39" s="34" t="s">
        <v>197</v>
      </c>
    </row>
    <row r="40" spans="1:9" ht="60" x14ac:dyDescent="0.25">
      <c r="A40" s="26">
        <f t="shared" si="6"/>
        <v>31</v>
      </c>
      <c r="B40" s="28" t="s">
        <v>46</v>
      </c>
      <c r="C40" s="29" t="s">
        <v>137</v>
      </c>
      <c r="D40" s="31" t="s">
        <v>94</v>
      </c>
      <c r="E40" s="35">
        <f>E26</f>
        <v>140.38999999999999</v>
      </c>
      <c r="F40" s="32" t="s">
        <v>28</v>
      </c>
      <c r="G40" s="41"/>
      <c r="H40" s="33">
        <f t="shared" si="5"/>
        <v>0</v>
      </c>
      <c r="I40" s="34" t="s">
        <v>189</v>
      </c>
    </row>
    <row r="41" spans="1:9" ht="45" x14ac:dyDescent="0.25">
      <c r="A41" s="26">
        <f t="shared" si="6"/>
        <v>32</v>
      </c>
      <c r="B41" s="28" t="s">
        <v>47</v>
      </c>
      <c r="C41" s="29" t="s">
        <v>138</v>
      </c>
      <c r="D41" s="31" t="s">
        <v>94</v>
      </c>
      <c r="E41" s="35">
        <f>E40</f>
        <v>140.38999999999999</v>
      </c>
      <c r="F41" s="32" t="s">
        <v>28</v>
      </c>
      <c r="G41" s="41"/>
      <c r="H41" s="33">
        <f t="shared" si="5"/>
        <v>0</v>
      </c>
      <c r="I41" s="34" t="s">
        <v>214</v>
      </c>
    </row>
    <row r="42" spans="1:9" ht="138" customHeight="1" x14ac:dyDescent="0.25">
      <c r="A42" s="26">
        <f t="shared" si="6"/>
        <v>33</v>
      </c>
      <c r="B42" s="28" t="s">
        <v>97</v>
      </c>
      <c r="C42" s="29" t="s">
        <v>139</v>
      </c>
      <c r="D42" s="31" t="str">
        <f t="shared" ca="1" si="2"/>
        <v>=6</v>
      </c>
      <c r="E42" s="35">
        <f>6</f>
        <v>6</v>
      </c>
      <c r="F42" s="32" t="s">
        <v>26</v>
      </c>
      <c r="G42" s="41"/>
      <c r="H42" s="33">
        <f t="shared" si="5"/>
        <v>0</v>
      </c>
      <c r="I42" s="34" t="s">
        <v>190</v>
      </c>
    </row>
    <row r="43" spans="1:9" ht="15.75" x14ac:dyDescent="0.25">
      <c r="A43" s="42" t="s">
        <v>86</v>
      </c>
      <c r="B43" s="43"/>
      <c r="C43" s="43"/>
      <c r="D43" s="43"/>
      <c r="E43" s="43"/>
      <c r="F43" s="43"/>
      <c r="G43" s="22"/>
      <c r="H43" s="22">
        <f>SUM(H25:H42)</f>
        <v>0</v>
      </c>
      <c r="I43" s="8"/>
    </row>
    <row r="44" spans="1:9" x14ac:dyDescent="0.25">
      <c r="A44" s="14"/>
      <c r="B44" s="15"/>
      <c r="C44" s="16"/>
      <c r="D44" s="16"/>
      <c r="E44" s="17"/>
      <c r="F44" s="18"/>
      <c r="G44" s="19"/>
      <c r="H44" s="19"/>
      <c r="I44" s="20"/>
    </row>
    <row r="45" spans="1:9" x14ac:dyDescent="0.25">
      <c r="A45" s="44" t="s">
        <v>48</v>
      </c>
      <c r="B45" s="45"/>
      <c r="C45" s="45"/>
      <c r="D45" s="45"/>
      <c r="E45" s="45"/>
      <c r="F45" s="45"/>
      <c r="G45" s="45"/>
      <c r="H45" s="45"/>
      <c r="I45" s="46"/>
    </row>
    <row r="46" spans="1:9" ht="180" x14ac:dyDescent="0.25">
      <c r="A46" s="26">
        <f>A42+1</f>
        <v>34</v>
      </c>
      <c r="B46" s="28" t="s">
        <v>49</v>
      </c>
      <c r="C46" s="29" t="s">
        <v>146</v>
      </c>
      <c r="D46" s="31" t="str">
        <f t="shared" ca="1" si="2"/>
        <v>=2*10,9+6,07+6,2</v>
      </c>
      <c r="E46" s="35">
        <f>2*10.9+6.07+6.2</f>
        <v>34.07</v>
      </c>
      <c r="F46" s="32" t="s">
        <v>39</v>
      </c>
      <c r="G46" s="41"/>
      <c r="H46" s="33">
        <f t="shared" ref="H46:H51" si="7">E46*G46</f>
        <v>0</v>
      </c>
      <c r="I46" s="34" t="s">
        <v>99</v>
      </c>
    </row>
    <row r="47" spans="1:9" ht="60" x14ac:dyDescent="0.25">
      <c r="A47" s="26">
        <f>A46+1</f>
        <v>35</v>
      </c>
      <c r="B47" s="28" t="s">
        <v>119</v>
      </c>
      <c r="C47" s="29" t="s">
        <v>147</v>
      </c>
      <c r="D47" s="31" t="str">
        <f t="shared" ca="1" si="2"/>
        <v>=11,1*4,8*0,5</v>
      </c>
      <c r="E47" s="35">
        <f>11.1*4.8*0.5</f>
        <v>26.639999999999997</v>
      </c>
      <c r="F47" s="32" t="s">
        <v>35</v>
      </c>
      <c r="G47" s="41"/>
      <c r="H47" s="33">
        <f t="shared" si="7"/>
        <v>0</v>
      </c>
      <c r="I47" s="34" t="s">
        <v>120</v>
      </c>
    </row>
    <row r="48" spans="1:9" ht="60" x14ac:dyDescent="0.25">
      <c r="A48" s="26">
        <f t="shared" ref="A48:A51" si="8">A47+1</f>
        <v>36</v>
      </c>
      <c r="B48" s="28" t="s">
        <v>50</v>
      </c>
      <c r="C48" s="29" t="s">
        <v>148</v>
      </c>
      <c r="D48" s="31" t="str">
        <f t="shared" ca="1" si="2"/>
        <v>=15*2,5*0,0267</v>
      </c>
      <c r="E48" s="35">
        <f>15*2.5*0.0267</f>
        <v>1.00125</v>
      </c>
      <c r="F48" s="32" t="s">
        <v>27</v>
      </c>
      <c r="G48" s="41"/>
      <c r="H48" s="33">
        <f t="shared" si="7"/>
        <v>0</v>
      </c>
      <c r="I48" s="34" t="s">
        <v>191</v>
      </c>
    </row>
    <row r="49" spans="1:9" ht="35.1" customHeight="1" x14ac:dyDescent="0.25">
      <c r="A49" s="26">
        <f t="shared" si="8"/>
        <v>37</v>
      </c>
      <c r="B49" s="28" t="s">
        <v>51</v>
      </c>
      <c r="C49" s="29" t="s">
        <v>149</v>
      </c>
      <c r="D49" s="31" t="str">
        <f t="shared" ca="1" si="2"/>
        <v>=(6+3+8+6)*1,5</v>
      </c>
      <c r="E49" s="35">
        <f>(6+3+8+6)*1.5</f>
        <v>34.5</v>
      </c>
      <c r="F49" s="32" t="s">
        <v>28</v>
      </c>
      <c r="G49" s="41"/>
      <c r="H49" s="33">
        <f t="shared" si="7"/>
        <v>0</v>
      </c>
      <c r="I49" s="34" t="s">
        <v>112</v>
      </c>
    </row>
    <row r="50" spans="1:9" ht="60" x14ac:dyDescent="0.25">
      <c r="A50" s="26">
        <f t="shared" si="8"/>
        <v>38</v>
      </c>
      <c r="B50" s="28" t="s">
        <v>52</v>
      </c>
      <c r="C50" s="29" t="s">
        <v>150</v>
      </c>
      <c r="D50" s="31" t="str">
        <f t="shared" ca="1" si="2"/>
        <v>=(4,6+0,3)*(11,08+0,3)*0,3</v>
      </c>
      <c r="E50" s="35">
        <f>(4.6+0.3)*(11.08+0.3)*0.3</f>
        <v>16.7286</v>
      </c>
      <c r="F50" s="32" t="s">
        <v>35</v>
      </c>
      <c r="G50" s="41"/>
      <c r="H50" s="33">
        <f t="shared" si="7"/>
        <v>0</v>
      </c>
      <c r="I50" s="34" t="s">
        <v>113</v>
      </c>
    </row>
    <row r="51" spans="1:9" ht="396.75" customHeight="1" x14ac:dyDescent="0.25">
      <c r="A51" s="26">
        <f t="shared" si="8"/>
        <v>39</v>
      </c>
      <c r="B51" s="28" t="s">
        <v>101</v>
      </c>
      <c r="C51" s="29" t="s">
        <v>151</v>
      </c>
      <c r="D51" s="31" t="str">
        <f t="shared" ca="1" si="2"/>
        <v>=10,5*1,5*0,4</v>
      </c>
      <c r="E51" s="35">
        <f>10.5*1.5*0.4</f>
        <v>6.3000000000000007</v>
      </c>
      <c r="F51" s="32" t="s">
        <v>35</v>
      </c>
      <c r="G51" s="41"/>
      <c r="H51" s="33">
        <f t="shared" si="7"/>
        <v>0</v>
      </c>
      <c r="I51" s="34" t="s">
        <v>215</v>
      </c>
    </row>
    <row r="52" spans="1:9" ht="15.75" x14ac:dyDescent="0.25">
      <c r="A52" s="42" t="s">
        <v>87</v>
      </c>
      <c r="B52" s="43"/>
      <c r="C52" s="43"/>
      <c r="D52" s="43"/>
      <c r="E52" s="43"/>
      <c r="F52" s="23"/>
      <c r="G52" s="22"/>
      <c r="H52" s="22">
        <f>SUM(H46:H51)</f>
        <v>0</v>
      </c>
      <c r="I52" s="8"/>
    </row>
    <row r="53" spans="1:9" x14ac:dyDescent="0.25">
      <c r="A53" s="14"/>
      <c r="B53" s="15"/>
      <c r="C53" s="16"/>
      <c r="D53" s="16"/>
      <c r="E53" s="17"/>
      <c r="F53" s="18"/>
      <c r="G53" s="19"/>
      <c r="H53" s="19"/>
      <c r="I53" s="20"/>
    </row>
    <row r="54" spans="1:9" x14ac:dyDescent="0.25">
      <c r="A54" s="44" t="s">
        <v>53</v>
      </c>
      <c r="B54" s="45"/>
      <c r="C54" s="45"/>
      <c r="D54" s="45"/>
      <c r="E54" s="45"/>
      <c r="F54" s="45"/>
      <c r="G54" s="45"/>
      <c r="H54" s="45"/>
      <c r="I54" s="46"/>
    </row>
    <row r="55" spans="1:9" ht="401.25" customHeight="1" x14ac:dyDescent="0.25">
      <c r="A55" s="26">
        <f>A51+1</f>
        <v>40</v>
      </c>
      <c r="B55" s="28" t="s">
        <v>98</v>
      </c>
      <c r="C55" s="29" t="s">
        <v>152</v>
      </c>
      <c r="D55" s="31" t="str">
        <f t="shared" ca="1" si="2"/>
        <v>=(0,9+2+4,16)*1,6*0,5</v>
      </c>
      <c r="E55" s="35">
        <f>(0.9+2+4.16)*1.6*0.5</f>
        <v>5.6480000000000006</v>
      </c>
      <c r="F55" s="32" t="s">
        <v>35</v>
      </c>
      <c r="G55" s="41"/>
      <c r="H55" s="33">
        <f>E55*G55</f>
        <v>0</v>
      </c>
      <c r="I55" s="34" t="s">
        <v>192</v>
      </c>
    </row>
    <row r="56" spans="1:9" ht="60" x14ac:dyDescent="0.25">
      <c r="A56" s="26">
        <f>A55+1</f>
        <v>41</v>
      </c>
      <c r="B56" s="28" t="s">
        <v>54</v>
      </c>
      <c r="C56" s="29" t="s">
        <v>153</v>
      </c>
      <c r="D56" s="31" t="str">
        <f t="shared" ca="1" si="2"/>
        <v>=8</v>
      </c>
      <c r="E56" s="35">
        <f>8</f>
        <v>8</v>
      </c>
      <c r="F56" s="32" t="s">
        <v>26</v>
      </c>
      <c r="G56" s="41"/>
      <c r="H56" s="33">
        <f>E56*G56</f>
        <v>0</v>
      </c>
      <c r="I56" s="34" t="s">
        <v>193</v>
      </c>
    </row>
    <row r="57" spans="1:9" ht="318" customHeight="1" x14ac:dyDescent="0.25">
      <c r="A57" s="26">
        <f>A56+1</f>
        <v>42</v>
      </c>
      <c r="B57" s="28" t="s">
        <v>55</v>
      </c>
      <c r="C57" s="29" t="s">
        <v>154</v>
      </c>
      <c r="D57" s="31" t="str">
        <f t="shared" ca="1" si="2"/>
        <v>=(12+8)*35</v>
      </c>
      <c r="E57" s="35">
        <f>(12+8)*35</f>
        <v>700</v>
      </c>
      <c r="F57" s="32" t="s">
        <v>56</v>
      </c>
      <c r="G57" s="41"/>
      <c r="H57" s="33">
        <f>E57*G57</f>
        <v>0</v>
      </c>
      <c r="I57" s="34" t="s">
        <v>186</v>
      </c>
    </row>
    <row r="58" spans="1:9" ht="15.75" x14ac:dyDescent="0.25">
      <c r="A58" s="42" t="s">
        <v>88</v>
      </c>
      <c r="B58" s="43"/>
      <c r="C58" s="43"/>
      <c r="D58" s="43"/>
      <c r="E58" s="43"/>
      <c r="F58" s="23"/>
      <c r="G58" s="22"/>
      <c r="H58" s="22">
        <f>SUM(H55:H57)</f>
        <v>0</v>
      </c>
      <c r="I58" s="8"/>
    </row>
    <row r="59" spans="1:9" x14ac:dyDescent="0.25">
      <c r="A59" s="14"/>
      <c r="B59" s="15"/>
      <c r="C59" s="16"/>
      <c r="D59" s="16"/>
      <c r="E59" s="17"/>
      <c r="F59" s="18"/>
      <c r="G59" s="19"/>
      <c r="H59" s="19"/>
      <c r="I59" s="20"/>
    </row>
    <row r="60" spans="1:9" x14ac:dyDescent="0.25">
      <c r="A60" s="44" t="s">
        <v>57</v>
      </c>
      <c r="B60" s="45"/>
      <c r="C60" s="45"/>
      <c r="D60" s="45"/>
      <c r="E60" s="45"/>
      <c r="F60" s="45"/>
      <c r="G60" s="45"/>
      <c r="H60" s="45"/>
      <c r="I60" s="46"/>
    </row>
    <row r="61" spans="1:9" ht="75" x14ac:dyDescent="0.25">
      <c r="A61" s="26">
        <f>A57+1</f>
        <v>43</v>
      </c>
      <c r="B61" s="28" t="s">
        <v>58</v>
      </c>
      <c r="C61" s="29" t="s">
        <v>155</v>
      </c>
      <c r="D61" s="31" t="str">
        <f t="shared" ca="1" si="2"/>
        <v>=10,88</v>
      </c>
      <c r="E61" s="35">
        <f>10.88</f>
        <v>10.88</v>
      </c>
      <c r="F61" s="32" t="s">
        <v>81</v>
      </c>
      <c r="G61" s="41"/>
      <c r="H61" s="33">
        <f t="shared" ref="H61:H66" si="9">G61*E61</f>
        <v>0</v>
      </c>
      <c r="I61" s="34" t="s">
        <v>194</v>
      </c>
    </row>
    <row r="62" spans="1:9" ht="60" x14ac:dyDescent="0.25">
      <c r="A62" s="26">
        <f>A61+1</f>
        <v>44</v>
      </c>
      <c r="B62" s="28" t="s">
        <v>59</v>
      </c>
      <c r="C62" s="29" t="s">
        <v>156</v>
      </c>
      <c r="D62" s="31" t="str">
        <f t="shared" ca="1" si="2"/>
        <v>=(1,85+1,75)*7,8*0,25</v>
      </c>
      <c r="E62" s="35">
        <f>(1.85+1.75)*7.8*0.25</f>
        <v>7.02</v>
      </c>
      <c r="F62" s="32" t="s">
        <v>35</v>
      </c>
      <c r="G62" s="41"/>
      <c r="H62" s="33">
        <f t="shared" si="9"/>
        <v>0</v>
      </c>
      <c r="I62" s="34" t="s">
        <v>114</v>
      </c>
    </row>
    <row r="63" spans="1:9" ht="330" x14ac:dyDescent="0.25">
      <c r="A63" s="26">
        <f t="shared" ref="A63:A66" si="10">A62+1</f>
        <v>45</v>
      </c>
      <c r="B63" s="28" t="s">
        <v>60</v>
      </c>
      <c r="C63" s="29" t="s">
        <v>157</v>
      </c>
      <c r="D63" s="31" t="str">
        <f t="shared" ca="1" si="2"/>
        <v>=0,15*0,15*PI()*1*8</v>
      </c>
      <c r="E63" s="35">
        <f>0.15*0.15*PI()*1*8</f>
        <v>0.56548667764616278</v>
      </c>
      <c r="F63" s="32" t="s">
        <v>35</v>
      </c>
      <c r="G63" s="41"/>
      <c r="H63" s="33">
        <f t="shared" si="9"/>
        <v>0</v>
      </c>
      <c r="I63" s="34" t="s">
        <v>185</v>
      </c>
    </row>
    <row r="64" spans="1:9" ht="60" x14ac:dyDescent="0.25">
      <c r="A64" s="26">
        <f t="shared" si="10"/>
        <v>46</v>
      </c>
      <c r="B64" s="28" t="s">
        <v>61</v>
      </c>
      <c r="C64" s="29" t="s">
        <v>158</v>
      </c>
      <c r="D64" s="31" t="str">
        <f t="shared" ca="1" si="2"/>
        <v>=((5,5+6,45)/2*2,5+(2,9+5,8)/2*5,25)*0,5</v>
      </c>
      <c r="E64" s="35">
        <f>((5.5+6.45)/2*2.5+(2.9+5.8)/2*5.25)*0.5</f>
        <v>18.887499999999999</v>
      </c>
      <c r="F64" s="32" t="s">
        <v>35</v>
      </c>
      <c r="G64" s="41"/>
      <c r="H64" s="33">
        <f t="shared" si="9"/>
        <v>0</v>
      </c>
      <c r="I64" s="34" t="s">
        <v>115</v>
      </c>
    </row>
    <row r="65" spans="1:9" ht="135" x14ac:dyDescent="0.25">
      <c r="A65" s="26">
        <f t="shared" si="10"/>
        <v>47</v>
      </c>
      <c r="B65" s="28" t="s">
        <v>62</v>
      </c>
      <c r="C65" s="29" t="s">
        <v>159</v>
      </c>
      <c r="D65" s="31" t="str">
        <f t="shared" ca="1" si="2"/>
        <v>=(5,52+5,94+2,08+6,07+15,11+12,1+9,97)*0,25+(18,8+34,1)*0,25+0,97*10,88</v>
      </c>
      <c r="E65" s="35">
        <f>(5.52+5.94+2.08+6.07+15.11+12.1+9.97)*0.25+(18.8+34.1)*0.25+0.97*10.88</f>
        <v>37.976100000000002</v>
      </c>
      <c r="F65" s="32" t="s">
        <v>35</v>
      </c>
      <c r="G65" s="41"/>
      <c r="H65" s="33">
        <f t="shared" si="9"/>
        <v>0</v>
      </c>
      <c r="I65" s="34"/>
    </row>
    <row r="66" spans="1:9" ht="390" x14ac:dyDescent="0.25">
      <c r="A66" s="26">
        <f t="shared" si="10"/>
        <v>48</v>
      </c>
      <c r="B66" s="28" t="s">
        <v>63</v>
      </c>
      <c r="C66" s="29" t="s">
        <v>160</v>
      </c>
      <c r="D66" s="31" t="str">
        <f t="shared" ca="1" si="2"/>
        <v>=(2,85+1,01+2,89)*0,5*0,5+(1,25+1+2,24+1+3,74)*0,5*0,5+(0,5*7,45+1,25*7,45/2)*0,5</v>
      </c>
      <c r="E66" s="35">
        <f>(2.85+1.01+2.89)*0.5*0.5+(1.25+1+2.24+1+3.74)*0.5*0.5+(0.5*7.45+1.25*7.45/2)*0.5</f>
        <v>8.1856249999999999</v>
      </c>
      <c r="F66" s="32" t="s">
        <v>35</v>
      </c>
      <c r="G66" s="41"/>
      <c r="H66" s="33">
        <f t="shared" si="9"/>
        <v>0</v>
      </c>
      <c r="I66" s="34" t="s">
        <v>195</v>
      </c>
    </row>
    <row r="67" spans="1:9" ht="15.75" x14ac:dyDescent="0.25">
      <c r="A67" s="42" t="s">
        <v>89</v>
      </c>
      <c r="B67" s="43"/>
      <c r="C67" s="43"/>
      <c r="D67" s="43"/>
      <c r="E67" s="43"/>
      <c r="F67" s="23"/>
      <c r="G67" s="22"/>
      <c r="H67" s="22">
        <f>SUM(H61:H66)</f>
        <v>0</v>
      </c>
      <c r="I67" s="8"/>
    </row>
    <row r="68" spans="1:9" x14ac:dyDescent="0.25">
      <c r="A68" s="14"/>
      <c r="B68" s="15"/>
      <c r="C68" s="16"/>
      <c r="D68" s="16"/>
      <c r="E68" s="17"/>
      <c r="F68" s="18"/>
      <c r="G68" s="19"/>
      <c r="H68" s="19"/>
      <c r="I68" s="20"/>
    </row>
    <row r="69" spans="1:9" x14ac:dyDescent="0.25">
      <c r="A69" s="44" t="s">
        <v>64</v>
      </c>
      <c r="B69" s="45"/>
      <c r="C69" s="45"/>
      <c r="D69" s="45"/>
      <c r="E69" s="45"/>
      <c r="F69" s="45"/>
      <c r="G69" s="45"/>
      <c r="H69" s="45"/>
      <c r="I69" s="46"/>
    </row>
    <row r="70" spans="1:9" ht="75" x14ac:dyDescent="0.25">
      <c r="A70" s="26">
        <f>A66+1</f>
        <v>49</v>
      </c>
      <c r="B70" s="28" t="s">
        <v>66</v>
      </c>
      <c r="C70" s="29" t="s">
        <v>161</v>
      </c>
      <c r="D70" s="31" t="str">
        <f t="shared" ca="1" si="2"/>
        <v>=3,9*(14,6+1,73+4)</v>
      </c>
      <c r="E70" s="35">
        <f>3.9*(14.6+1.73+4)</f>
        <v>79.286999999999992</v>
      </c>
      <c r="F70" s="32" t="s">
        <v>28</v>
      </c>
      <c r="G70" s="41"/>
      <c r="H70" s="33">
        <f t="shared" ref="H70:H74" si="11">E70*G70</f>
        <v>0</v>
      </c>
      <c r="I70" s="34"/>
    </row>
    <row r="71" spans="1:9" ht="75" x14ac:dyDescent="0.25">
      <c r="A71" s="26">
        <f>A70+1</f>
        <v>50</v>
      </c>
      <c r="B71" s="28" t="s">
        <v>67</v>
      </c>
      <c r="C71" s="29" t="s">
        <v>162</v>
      </c>
      <c r="D71" s="31" t="str">
        <f t="shared" ca="1" si="2"/>
        <v>=4,25*14,6</v>
      </c>
      <c r="E71" s="35">
        <f>4.25*14.6</f>
        <v>62.05</v>
      </c>
      <c r="F71" s="32" t="s">
        <v>28</v>
      </c>
      <c r="G71" s="41"/>
      <c r="H71" s="33">
        <f t="shared" si="11"/>
        <v>0</v>
      </c>
      <c r="I71" s="34"/>
    </row>
    <row r="72" spans="1:9" ht="75" x14ac:dyDescent="0.25">
      <c r="A72" s="26">
        <f t="shared" ref="A72:A76" si="12">A71+1</f>
        <v>51</v>
      </c>
      <c r="B72" s="28" t="s">
        <v>68</v>
      </c>
      <c r="C72" s="29" t="s">
        <v>163</v>
      </c>
      <c r="D72" s="31" t="str">
        <f t="shared" ca="1" si="2"/>
        <v>=4,1*31,33</v>
      </c>
      <c r="E72" s="35">
        <f>4.1*31.33</f>
        <v>128.45299999999997</v>
      </c>
      <c r="F72" s="32" t="s">
        <v>28</v>
      </c>
      <c r="G72" s="41"/>
      <c r="H72" s="33">
        <f t="shared" si="11"/>
        <v>0</v>
      </c>
      <c r="I72" s="34"/>
    </row>
    <row r="73" spans="1:9" ht="180" x14ac:dyDescent="0.25">
      <c r="A73" s="26">
        <f t="shared" si="12"/>
        <v>52</v>
      </c>
      <c r="B73" s="28" t="s">
        <v>164</v>
      </c>
      <c r="C73" s="29" t="s">
        <v>165</v>
      </c>
      <c r="D73" s="31" t="str">
        <f t="shared" ca="1" si="2"/>
        <v>=3,05*31,33*0,04</v>
      </c>
      <c r="E73" s="35">
        <f>3.05*31.33*0.04</f>
        <v>3.8222599999999995</v>
      </c>
      <c r="F73" s="32" t="s">
        <v>35</v>
      </c>
      <c r="G73" s="41"/>
      <c r="H73" s="33">
        <f t="shared" si="11"/>
        <v>0</v>
      </c>
      <c r="I73" s="34"/>
    </row>
    <row r="74" spans="1:9" ht="180" x14ac:dyDescent="0.25">
      <c r="A74" s="26">
        <f t="shared" si="12"/>
        <v>53</v>
      </c>
      <c r="B74" s="28" t="s">
        <v>69</v>
      </c>
      <c r="C74" s="29" t="s">
        <v>166</v>
      </c>
      <c r="D74" s="31" t="str">
        <f t="shared" ca="1" si="2"/>
        <v>=3,45*(31,33-2-1,5)*0,06</v>
      </c>
      <c r="E74" s="35">
        <f>3.45*(31.33-2-1.5)*0.06</f>
        <v>5.7608099999999993</v>
      </c>
      <c r="F74" s="32" t="s">
        <v>35</v>
      </c>
      <c r="G74" s="41"/>
      <c r="H74" s="33">
        <f t="shared" si="11"/>
        <v>0</v>
      </c>
      <c r="I74" s="34"/>
    </row>
    <row r="75" spans="1:9" ht="180" x14ac:dyDescent="0.25">
      <c r="A75" s="26">
        <f t="shared" si="12"/>
        <v>54</v>
      </c>
      <c r="B75" s="28" t="s">
        <v>70</v>
      </c>
      <c r="C75" s="29" t="s">
        <v>167</v>
      </c>
      <c r="D75" s="31" t="str">
        <f ca="1">_xlfn.FORMULATEXT(E75)</f>
        <v>=3,65*(31,33-2-3-1,5-3)*0,05</v>
      </c>
      <c r="E75" s="35">
        <f>3.65*(31.33-2-3-1.5-3)*0.05</f>
        <v>3.9839749999999996</v>
      </c>
      <c r="F75" s="32" t="s">
        <v>35</v>
      </c>
      <c r="G75" s="41"/>
      <c r="H75" s="33">
        <f>E75*G75</f>
        <v>0</v>
      </c>
      <c r="I75" s="34"/>
    </row>
    <row r="76" spans="1:9" ht="60" x14ac:dyDescent="0.25">
      <c r="A76" s="26">
        <f t="shared" si="12"/>
        <v>55</v>
      </c>
      <c r="B76" s="28">
        <v>58920</v>
      </c>
      <c r="C76" s="40" t="s">
        <v>205</v>
      </c>
      <c r="D76" s="31" t="str">
        <f ca="1">_xlfn.FORMULATEXT(E76)</f>
        <v>=2*3,05</v>
      </c>
      <c r="E76" s="35">
        <f>2*3.05</f>
        <v>6.1</v>
      </c>
      <c r="F76" s="32" t="s">
        <v>39</v>
      </c>
      <c r="G76" s="41"/>
      <c r="H76" s="33">
        <f>E76*G76</f>
        <v>0</v>
      </c>
      <c r="I76" s="34"/>
    </row>
    <row r="77" spans="1:9" ht="15.75" x14ac:dyDescent="0.25">
      <c r="A77" s="42" t="s">
        <v>90</v>
      </c>
      <c r="B77" s="43"/>
      <c r="C77" s="43"/>
      <c r="D77" s="43"/>
      <c r="E77" s="43"/>
      <c r="F77" s="43"/>
      <c r="G77" s="22"/>
      <c r="H77" s="22">
        <f>SUM(H70:H76)</f>
        <v>0</v>
      </c>
      <c r="I77" s="8"/>
    </row>
    <row r="78" spans="1:9" x14ac:dyDescent="0.25">
      <c r="A78" s="14"/>
      <c r="B78" s="15"/>
      <c r="C78" s="16"/>
      <c r="D78" s="16"/>
      <c r="E78" s="17"/>
      <c r="F78" s="18"/>
      <c r="G78" s="19"/>
      <c r="H78" s="19"/>
      <c r="I78" s="20"/>
    </row>
    <row r="79" spans="1:9" x14ac:dyDescent="0.25">
      <c r="A79" s="44" t="s">
        <v>71</v>
      </c>
      <c r="B79" s="45"/>
      <c r="C79" s="45"/>
      <c r="D79" s="45"/>
      <c r="E79" s="45"/>
      <c r="F79" s="45"/>
      <c r="G79" s="45"/>
      <c r="H79" s="45"/>
      <c r="I79" s="46"/>
    </row>
    <row r="80" spans="1:9" ht="225" x14ac:dyDescent="0.25">
      <c r="A80" s="26">
        <f>A76+1</f>
        <v>56</v>
      </c>
      <c r="B80" s="28" t="s">
        <v>72</v>
      </c>
      <c r="C80" s="29" t="s">
        <v>168</v>
      </c>
      <c r="D80" s="31" t="str">
        <f t="shared" ca="1" si="2"/>
        <v>=(0,9+2+4,16)*2,1*2</v>
      </c>
      <c r="E80" s="35">
        <f>(0.9+2+4.16)*2.1*2</f>
        <v>29.652000000000005</v>
      </c>
      <c r="F80" s="32" t="s">
        <v>28</v>
      </c>
      <c r="G80" s="41"/>
      <c r="H80" s="33">
        <f>E80*G80</f>
        <v>0</v>
      </c>
      <c r="I80" s="34" t="s">
        <v>198</v>
      </c>
    </row>
    <row r="81" spans="1:9" ht="225" x14ac:dyDescent="0.25">
      <c r="A81" s="26">
        <f>A80+1</f>
        <v>57</v>
      </c>
      <c r="B81" s="28" t="s">
        <v>73</v>
      </c>
      <c r="C81" s="29" t="s">
        <v>169</v>
      </c>
      <c r="D81" s="31" t="str">
        <f t="shared" ca="1" si="2"/>
        <v>=5*11</v>
      </c>
      <c r="E81" s="35">
        <f>5*11</f>
        <v>55</v>
      </c>
      <c r="F81" s="32" t="s">
        <v>28</v>
      </c>
      <c r="G81" s="41"/>
      <c r="H81" s="33">
        <f>E81*G81</f>
        <v>0</v>
      </c>
      <c r="I81" s="34" t="s">
        <v>196</v>
      </c>
    </row>
    <row r="82" spans="1:9" ht="60" x14ac:dyDescent="0.25">
      <c r="A82" s="26">
        <f t="shared" ref="A82:A84" si="13">A81+1</f>
        <v>58</v>
      </c>
      <c r="B82" s="28" t="s">
        <v>74</v>
      </c>
      <c r="C82" s="29" t="s">
        <v>170</v>
      </c>
      <c r="D82" s="31" t="str">
        <f t="shared" ref="D82:D93" ca="1" si="14">_xlfn.FORMULATEXT(E82)</f>
        <v>=2*55+29,7</v>
      </c>
      <c r="E82" s="35">
        <f>2*55+29.7</f>
        <v>139.69999999999999</v>
      </c>
      <c r="F82" s="32" t="s">
        <v>28</v>
      </c>
      <c r="G82" s="41"/>
      <c r="H82" s="33">
        <f>E82*G82</f>
        <v>0</v>
      </c>
      <c r="I82" s="34" t="s">
        <v>203</v>
      </c>
    </row>
    <row r="83" spans="1:9" ht="120" x14ac:dyDescent="0.25">
      <c r="A83" s="26">
        <f t="shared" si="13"/>
        <v>59</v>
      </c>
      <c r="B83" s="28" t="s">
        <v>75</v>
      </c>
      <c r="C83" s="29" t="s">
        <v>171</v>
      </c>
      <c r="D83" s="31" t="str">
        <f t="shared" ca="1" si="14"/>
        <v>=20*2</v>
      </c>
      <c r="E83" s="35">
        <f>20*2</f>
        <v>40</v>
      </c>
      <c r="F83" s="32" t="s">
        <v>28</v>
      </c>
      <c r="G83" s="41"/>
      <c r="H83" s="33">
        <f t="shared" ref="H83:H84" si="15">E83*G83</f>
        <v>0</v>
      </c>
      <c r="I83" s="34" t="s">
        <v>204</v>
      </c>
    </row>
    <row r="84" spans="1:9" ht="120" x14ac:dyDescent="0.25">
      <c r="A84" s="26">
        <f t="shared" si="13"/>
        <v>60</v>
      </c>
      <c r="B84" s="28" t="s">
        <v>76</v>
      </c>
      <c r="C84" s="29" t="s">
        <v>172</v>
      </c>
      <c r="D84" s="31" t="str">
        <f t="shared" ca="1" si="14"/>
        <v>=1,6*1</v>
      </c>
      <c r="E84" s="35">
        <f>1.6*1</f>
        <v>1.6</v>
      </c>
      <c r="F84" s="32" t="s">
        <v>28</v>
      </c>
      <c r="G84" s="41"/>
      <c r="H84" s="33">
        <f t="shared" si="15"/>
        <v>0</v>
      </c>
      <c r="I84" s="34" t="s">
        <v>100</v>
      </c>
    </row>
    <row r="85" spans="1:9" ht="15.75" x14ac:dyDescent="0.25">
      <c r="A85" s="42" t="s">
        <v>91</v>
      </c>
      <c r="B85" s="43"/>
      <c r="C85" s="43"/>
      <c r="D85" s="43"/>
      <c r="E85" s="43"/>
      <c r="F85" s="43"/>
      <c r="G85" s="22"/>
      <c r="H85" s="22">
        <f>SUM(H80:H84)</f>
        <v>0</v>
      </c>
      <c r="I85" s="24"/>
    </row>
    <row r="86" spans="1:9" x14ac:dyDescent="0.25">
      <c r="A86" s="14"/>
      <c r="B86" s="15"/>
      <c r="C86" s="16"/>
      <c r="D86" s="16"/>
      <c r="E86" s="17"/>
      <c r="F86" s="18"/>
      <c r="G86" s="19"/>
      <c r="H86" s="19"/>
      <c r="I86" s="20"/>
    </row>
    <row r="87" spans="1:9" x14ac:dyDescent="0.25">
      <c r="A87" s="44" t="s">
        <v>77</v>
      </c>
      <c r="B87" s="45"/>
      <c r="C87" s="45"/>
      <c r="D87" s="45"/>
      <c r="E87" s="45"/>
      <c r="F87" s="45"/>
      <c r="G87" s="45"/>
      <c r="H87" s="45"/>
      <c r="I87" s="46"/>
    </row>
    <row r="88" spans="1:9" ht="60" x14ac:dyDescent="0.25">
      <c r="A88" s="26">
        <f>A84+1</f>
        <v>61</v>
      </c>
      <c r="B88" s="37">
        <v>91345</v>
      </c>
      <c r="C88" s="29" t="s">
        <v>173</v>
      </c>
      <c r="D88" s="31" t="str">
        <f t="shared" ca="1" si="14"/>
        <v>=2</v>
      </c>
      <c r="E88" s="38">
        <f>2</f>
        <v>2</v>
      </c>
      <c r="F88" s="32" t="s">
        <v>102</v>
      </c>
      <c r="G88" s="41"/>
      <c r="H88" s="33">
        <f t="shared" ref="H88:H93" si="16">E88*G88</f>
        <v>0</v>
      </c>
      <c r="I88" s="34" t="s">
        <v>116</v>
      </c>
    </row>
    <row r="89" spans="1:9" ht="45" x14ac:dyDescent="0.25">
      <c r="A89" s="26">
        <f>A88+1</f>
        <v>62</v>
      </c>
      <c r="B89" s="37">
        <v>91355</v>
      </c>
      <c r="C89" s="29" t="s">
        <v>174</v>
      </c>
      <c r="D89" s="31" t="str">
        <f t="shared" ca="1" si="14"/>
        <v>=1</v>
      </c>
      <c r="E89" s="38">
        <f>1</f>
        <v>1</v>
      </c>
      <c r="F89" s="32" t="s">
        <v>102</v>
      </c>
      <c r="G89" s="41"/>
      <c r="H89" s="33">
        <f t="shared" si="16"/>
        <v>0</v>
      </c>
      <c r="I89" s="34" t="s">
        <v>117</v>
      </c>
    </row>
    <row r="90" spans="1:9" ht="30" x14ac:dyDescent="0.25">
      <c r="A90" s="26">
        <f t="shared" ref="A90:A91" si="17">A89+1</f>
        <v>63</v>
      </c>
      <c r="B90" s="37">
        <v>919111</v>
      </c>
      <c r="C90" s="29" t="s">
        <v>206</v>
      </c>
      <c r="D90" s="31" t="str">
        <f t="shared" ref="D90" ca="1" si="18">_xlfn.FORMULATEXT(E90)</f>
        <v>=2*3,05</v>
      </c>
      <c r="E90" s="38">
        <f>2*3.05</f>
        <v>6.1</v>
      </c>
      <c r="F90" s="32" t="s">
        <v>35</v>
      </c>
      <c r="G90" s="41"/>
      <c r="H90" s="33">
        <f t="shared" si="16"/>
        <v>0</v>
      </c>
      <c r="I90" s="34" t="s">
        <v>207</v>
      </c>
    </row>
    <row r="91" spans="1:9" ht="150" x14ac:dyDescent="0.25">
      <c r="A91" s="26">
        <f t="shared" si="17"/>
        <v>64</v>
      </c>
      <c r="B91" s="28" t="s">
        <v>78</v>
      </c>
      <c r="C91" s="29" t="s">
        <v>200</v>
      </c>
      <c r="D91" s="31" t="str">
        <f t="shared" ca="1" si="14"/>
        <v>=(5,3+7,2)*1,2*4,1</v>
      </c>
      <c r="E91" s="35">
        <f>(5.3+7.2)*1.2*4.1</f>
        <v>61.499999999999993</v>
      </c>
      <c r="F91" s="32" t="s">
        <v>35</v>
      </c>
      <c r="G91" s="41"/>
      <c r="H91" s="33">
        <f t="shared" si="16"/>
        <v>0</v>
      </c>
      <c r="I91" s="34" t="s">
        <v>209</v>
      </c>
    </row>
    <row r="92" spans="1:9" ht="165" x14ac:dyDescent="0.25">
      <c r="A92" s="26">
        <f t="shared" ref="A92:A93" si="19">A91+1</f>
        <v>65</v>
      </c>
      <c r="B92" s="28" t="s">
        <v>79</v>
      </c>
      <c r="C92" s="29" t="s">
        <v>201</v>
      </c>
      <c r="D92" s="31" t="str">
        <f t="shared" ca="1" si="14"/>
        <v>=(3,2*PI()*0,4+2*2,65)*4,38</v>
      </c>
      <c r="E92" s="35">
        <f>(3.2*PI()*0.4+2*2.65)*4.38</f>
        <v>40.827025053085812</v>
      </c>
      <c r="F92" s="32" t="s">
        <v>35</v>
      </c>
      <c r="G92" s="41"/>
      <c r="H92" s="33">
        <f t="shared" si="16"/>
        <v>0</v>
      </c>
      <c r="I92" s="34" t="s">
        <v>199</v>
      </c>
    </row>
    <row r="93" spans="1:9" ht="165" x14ac:dyDescent="0.25">
      <c r="A93" s="26">
        <f t="shared" si="19"/>
        <v>66</v>
      </c>
      <c r="B93" s="28" t="s">
        <v>83</v>
      </c>
      <c r="C93" s="29" t="s">
        <v>202</v>
      </c>
      <c r="D93" s="31" t="str">
        <f t="shared" ca="1" si="14"/>
        <v>=20*0,3*1,2</v>
      </c>
      <c r="E93" s="35">
        <f>20*0.3*1.2</f>
        <v>7.1999999999999993</v>
      </c>
      <c r="F93" s="32" t="s">
        <v>35</v>
      </c>
      <c r="G93" s="41"/>
      <c r="H93" s="33">
        <f t="shared" si="16"/>
        <v>0</v>
      </c>
      <c r="I93" s="34" t="s">
        <v>208</v>
      </c>
    </row>
    <row r="94" spans="1:9" ht="15.75" x14ac:dyDescent="0.25">
      <c r="A94" s="42" t="s">
        <v>93</v>
      </c>
      <c r="B94" s="43"/>
      <c r="C94" s="43"/>
      <c r="D94" s="43"/>
      <c r="E94" s="43"/>
      <c r="F94" s="43"/>
      <c r="G94" s="25"/>
      <c r="H94" s="22">
        <f>SUM(H88:H93)</f>
        <v>0</v>
      </c>
      <c r="I94" s="8"/>
    </row>
    <row r="95" spans="1:9" x14ac:dyDescent="0.25">
      <c r="A95" s="50" t="s">
        <v>92</v>
      </c>
      <c r="B95" s="51"/>
      <c r="C95" s="51"/>
      <c r="D95" s="51"/>
      <c r="E95" s="51"/>
      <c r="F95" s="51"/>
      <c r="G95" s="52"/>
      <c r="H95" s="56">
        <f>H22+H43+H52+H58+H67+H77+H85+H94</f>
        <v>0</v>
      </c>
      <c r="I95" s="58"/>
    </row>
    <row r="96" spans="1:9" ht="15.75" thickBot="1" x14ac:dyDescent="0.3">
      <c r="A96" s="53"/>
      <c r="B96" s="54"/>
      <c r="C96" s="54"/>
      <c r="D96" s="54"/>
      <c r="E96" s="54"/>
      <c r="F96" s="54"/>
      <c r="G96" s="55"/>
      <c r="H96" s="57"/>
      <c r="I96" s="59"/>
    </row>
    <row r="97" spans="1:2" x14ac:dyDescent="0.25">
      <c r="B97" s="2"/>
    </row>
    <row r="98" spans="1:2" x14ac:dyDescent="0.25">
      <c r="B98" s="2"/>
    </row>
    <row r="99" spans="1:2" x14ac:dyDescent="0.25">
      <c r="B99" s="2"/>
    </row>
    <row r="100" spans="1:2" x14ac:dyDescent="0.25">
      <c r="A100" s="5"/>
      <c r="B100" s="2"/>
    </row>
    <row r="101" spans="1:2" x14ac:dyDescent="0.25">
      <c r="A101" s="5"/>
      <c r="B101" s="2"/>
    </row>
    <row r="102" spans="1:2" x14ac:dyDescent="0.25">
      <c r="A102" s="39"/>
      <c r="B102" s="2"/>
    </row>
    <row r="103" spans="1:2" x14ac:dyDescent="0.25">
      <c r="A103" s="39"/>
      <c r="B103" s="2"/>
    </row>
    <row r="104" spans="1:2" x14ac:dyDescent="0.25">
      <c r="B104" s="2"/>
    </row>
    <row r="105" spans="1:2" x14ac:dyDescent="0.25">
      <c r="B105" s="2"/>
    </row>
    <row r="106" spans="1:2" x14ac:dyDescent="0.25">
      <c r="A106" s="5"/>
      <c r="B106" s="2"/>
    </row>
    <row r="107" spans="1:2" x14ac:dyDescent="0.25">
      <c r="A107" s="5"/>
      <c r="B107" s="2"/>
    </row>
    <row r="108" spans="1:2" x14ac:dyDescent="0.25">
      <c r="A108" s="5"/>
      <c r="B108" s="2"/>
    </row>
    <row r="109" spans="1:2" x14ac:dyDescent="0.25">
      <c r="B109" s="2"/>
    </row>
    <row r="110" spans="1:2" x14ac:dyDescent="0.25">
      <c r="B110" s="2"/>
    </row>
    <row r="111" spans="1:2" x14ac:dyDescent="0.25">
      <c r="B111" s="2"/>
    </row>
    <row r="112" spans="1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</sheetData>
  <sheetProtection sheet="1" objects="1" scenarios="1"/>
  <mergeCells count="19">
    <mergeCell ref="A69:I69"/>
    <mergeCell ref="A60:I60"/>
    <mergeCell ref="A54:I54"/>
    <mergeCell ref="A77:F77"/>
    <mergeCell ref="A85:F85"/>
    <mergeCell ref="A58:E58"/>
    <mergeCell ref="A67:E67"/>
    <mergeCell ref="A95:G96"/>
    <mergeCell ref="H95:H96"/>
    <mergeCell ref="I95:I96"/>
    <mergeCell ref="A87:I87"/>
    <mergeCell ref="A79:I79"/>
    <mergeCell ref="A94:F94"/>
    <mergeCell ref="A52:E52"/>
    <mergeCell ref="A45:I45"/>
    <mergeCell ref="A24:I24"/>
    <mergeCell ref="A6:I6"/>
    <mergeCell ref="A22:F22"/>
    <mergeCell ref="A43:F43"/>
  </mergeCells>
  <phoneticPr fontId="2" type="noConversion"/>
  <pageMargins left="0.70866141732283472" right="0.70866141732283472" top="0.78740157480314965" bottom="0.78740157480314965" header="0.31496062992125984" footer="0.31496062992125984"/>
  <pageSetup paperSize="8" scale="93" fitToHeight="0" orientation="landscape" r:id="rId1"/>
  <headerFooter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Sýkorová</dc:creator>
  <cp:lastModifiedBy>Antonin Brnusak</cp:lastModifiedBy>
  <cp:lastPrinted>2022-02-06T17:31:30Z</cp:lastPrinted>
  <dcterms:created xsi:type="dcterms:W3CDTF">2020-07-05T08:34:04Z</dcterms:created>
  <dcterms:modified xsi:type="dcterms:W3CDTF">2024-01-19T08:40:06Z</dcterms:modified>
</cp:coreProperties>
</file>